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ita\Desktop\"/>
    </mc:Choice>
  </mc:AlternateContent>
  <xr:revisionPtr revIDLastSave="0" documentId="13_ncr:1_{B6DFB00C-D7B9-4356-9DC6-DB4AB9B21F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1-2022" sheetId="11" r:id="rId1"/>
    <sheet name="1" sheetId="12" r:id="rId2"/>
    <sheet name="2" sheetId="13" r:id="rId3"/>
    <sheet name="3" sheetId="14" r:id="rId4"/>
    <sheet name="4" sheetId="16" r:id="rId5"/>
    <sheet name="5" sheetId="18" r:id="rId6"/>
    <sheet name="6" sheetId="19" r:id="rId7"/>
    <sheet name="7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20" l="1"/>
  <c r="H86" i="20" l="1"/>
  <c r="F86" i="20" s="1"/>
  <c r="H85" i="20"/>
  <c r="F85" i="20" s="1"/>
  <c r="H72" i="20"/>
  <c r="H74" i="20"/>
  <c r="F74" i="20" s="1"/>
  <c r="H84" i="20" l="1"/>
  <c r="F84" i="20" s="1"/>
  <c r="D123" i="20"/>
  <c r="D110" i="20"/>
  <c r="D129" i="20"/>
  <c r="D119" i="19"/>
  <c r="D125" i="19"/>
  <c r="D106" i="19"/>
  <c r="F154" i="20"/>
  <c r="F153" i="20"/>
  <c r="F152" i="20"/>
  <c r="F151" i="20"/>
  <c r="F150" i="20"/>
  <c r="D149" i="20"/>
  <c r="D156" i="20" s="1"/>
  <c r="F143" i="20"/>
  <c r="F142" i="20"/>
  <c r="F141" i="20"/>
  <c r="F140" i="20"/>
  <c r="F139" i="20"/>
  <c r="F138" i="20"/>
  <c r="H137" i="20"/>
  <c r="D137" i="20"/>
  <c r="F136" i="20"/>
  <c r="F135" i="20" s="1"/>
  <c r="D135" i="20"/>
  <c r="F134" i="20"/>
  <c r="F133" i="20"/>
  <c r="F132" i="20"/>
  <c r="F131" i="20"/>
  <c r="F130" i="20"/>
  <c r="F129" i="20" s="1"/>
  <c r="H129" i="20"/>
  <c r="F128" i="20"/>
  <c r="H127" i="20"/>
  <c r="D127" i="20"/>
  <c r="F127" i="20" s="1"/>
  <c r="F126" i="20"/>
  <c r="F123" i="20" s="1"/>
  <c r="F125" i="20"/>
  <c r="F124" i="20"/>
  <c r="H123" i="20"/>
  <c r="F122" i="20"/>
  <c r="H121" i="20"/>
  <c r="D121" i="20"/>
  <c r="F121" i="20" s="1"/>
  <c r="F120" i="20"/>
  <c r="F119" i="20"/>
  <c r="F118" i="20"/>
  <c r="F117" i="20"/>
  <c r="F116" i="20"/>
  <c r="F115" i="20"/>
  <c r="F114" i="20"/>
  <c r="F113" i="20"/>
  <c r="H112" i="20"/>
  <c r="D112" i="20"/>
  <c r="F111" i="20"/>
  <c r="F110" i="20" s="1"/>
  <c r="H110" i="20"/>
  <c r="F109" i="20"/>
  <c r="F108" i="20"/>
  <c r="F107" i="20"/>
  <c r="F106" i="20"/>
  <c r="F105" i="20"/>
  <c r="H104" i="20"/>
  <c r="H144" i="20" s="1"/>
  <c r="D104" i="20"/>
  <c r="F103" i="20"/>
  <c r="F102" i="20"/>
  <c r="F96" i="20"/>
  <c r="F95" i="20"/>
  <c r="F94" i="20"/>
  <c r="F93" i="20"/>
  <c r="F92" i="20"/>
  <c r="F91" i="20"/>
  <c r="H90" i="20"/>
  <c r="D90" i="20"/>
  <c r="F89" i="20"/>
  <c r="H87" i="20"/>
  <c r="F88" i="20"/>
  <c r="D87" i="20"/>
  <c r="F83" i="20"/>
  <c r="D82" i="20"/>
  <c r="F82" i="20" s="1"/>
  <c r="D81" i="20"/>
  <c r="F81" i="20" s="1"/>
  <c r="H80" i="20"/>
  <c r="F79" i="20"/>
  <c r="F78" i="20"/>
  <c r="F77" i="20"/>
  <c r="H76" i="20"/>
  <c r="F75" i="20"/>
  <c r="F73" i="20"/>
  <c r="D72" i="20"/>
  <c r="F72" i="20" s="1"/>
  <c r="F71" i="20"/>
  <c r="H70" i="20"/>
  <c r="D70" i="20"/>
  <c r="F69" i="20"/>
  <c r="F68" i="20"/>
  <c r="F67" i="20"/>
  <c r="F66" i="20"/>
  <c r="F65" i="20"/>
  <c r="F64" i="20"/>
  <c r="F63" i="20"/>
  <c r="F62" i="20"/>
  <c r="F61" i="20"/>
  <c r="F60" i="20"/>
  <c r="F59" i="20"/>
  <c r="F55" i="20" s="1"/>
  <c r="F58" i="20"/>
  <c r="F57" i="20"/>
  <c r="F56" i="20"/>
  <c r="H55" i="20"/>
  <c r="D55" i="20"/>
  <c r="D54" i="20"/>
  <c r="F54" i="20" s="1"/>
  <c r="F53" i="20"/>
  <c r="F52" i="20"/>
  <c r="F51" i="20"/>
  <c r="F50" i="20"/>
  <c r="F49" i="20"/>
  <c r="F48" i="20"/>
  <c r="D47" i="20"/>
  <c r="F47" i="20" s="1"/>
  <c r="F46" i="20"/>
  <c r="F45" i="20"/>
  <c r="D44" i="20"/>
  <c r="F44" i="20" s="1"/>
  <c r="H43" i="20"/>
  <c r="F42" i="20"/>
  <c r="F41" i="20"/>
  <c r="F40" i="20"/>
  <c r="H39" i="20"/>
  <c r="D39" i="20"/>
  <c r="F38" i="20"/>
  <c r="F37" i="20"/>
  <c r="F36" i="20"/>
  <c r="F35" i="20"/>
  <c r="H34" i="20"/>
  <c r="D34" i="20"/>
  <c r="F33" i="20"/>
  <c r="F32" i="20"/>
  <c r="F31" i="20"/>
  <c r="H24" i="20"/>
  <c r="F23" i="20"/>
  <c r="F22" i="20"/>
  <c r="D21" i="20"/>
  <c r="F21" i="20" s="1"/>
  <c r="F20" i="20"/>
  <c r="F112" i="20" l="1"/>
  <c r="F149" i="20"/>
  <c r="F156" i="20" s="1"/>
  <c r="H97" i="20"/>
  <c r="F80" i="20"/>
  <c r="D144" i="20"/>
  <c r="F137" i="20"/>
  <c r="F97" i="20"/>
  <c r="F90" i="20"/>
  <c r="F70" i="20"/>
  <c r="F39" i="20"/>
  <c r="F34" i="20"/>
  <c r="F24" i="20"/>
  <c r="F87" i="20"/>
  <c r="D80" i="20"/>
  <c r="D43" i="20"/>
  <c r="F43" i="20" s="1"/>
  <c r="F104" i="20"/>
  <c r="D24" i="20"/>
  <c r="D76" i="20"/>
  <c r="F76" i="20" s="1"/>
  <c r="D133" i="19"/>
  <c r="D86" i="19"/>
  <c r="D85" i="18"/>
  <c r="H84" i="19"/>
  <c r="H32" i="19"/>
  <c r="H31" i="19"/>
  <c r="F144" i="20" l="1"/>
  <c r="D97" i="20"/>
  <c r="F33" i="19"/>
  <c r="F150" i="19"/>
  <c r="F149" i="19"/>
  <c r="F148" i="19"/>
  <c r="F147" i="19"/>
  <c r="F145" i="19" s="1"/>
  <c r="F151" i="19" s="1"/>
  <c r="F146" i="19"/>
  <c r="D145" i="19"/>
  <c r="D151" i="19" s="1"/>
  <c r="F139" i="19"/>
  <c r="F138" i="19"/>
  <c r="F137" i="19"/>
  <c r="F136" i="19"/>
  <c r="F135" i="19"/>
  <c r="F134" i="19"/>
  <c r="H133" i="19"/>
  <c r="F133" i="19" s="1"/>
  <c r="F132" i="19"/>
  <c r="F131" i="19" s="1"/>
  <c r="D131" i="19"/>
  <c r="F130" i="19"/>
  <c r="F129" i="19"/>
  <c r="F128" i="19"/>
  <c r="F127" i="19"/>
  <c r="F126" i="19"/>
  <c r="H125" i="19"/>
  <c r="F124" i="19"/>
  <c r="H123" i="19"/>
  <c r="D123" i="19"/>
  <c r="F122" i="19"/>
  <c r="F121" i="19"/>
  <c r="F120" i="19"/>
  <c r="H119" i="19"/>
  <c r="F118" i="19"/>
  <c r="H117" i="19"/>
  <c r="D117" i="19"/>
  <c r="F117" i="19" s="1"/>
  <c r="F116" i="19"/>
  <c r="F115" i="19"/>
  <c r="F114" i="19"/>
  <c r="F113" i="19"/>
  <c r="F112" i="19"/>
  <c r="F111" i="19"/>
  <c r="F110" i="19"/>
  <c r="F109" i="19"/>
  <c r="H108" i="19"/>
  <c r="F108" i="19" s="1"/>
  <c r="D108" i="19"/>
  <c r="F107" i="19"/>
  <c r="F106" i="19" s="1"/>
  <c r="H106" i="19"/>
  <c r="F105" i="19"/>
  <c r="F104" i="19"/>
  <c r="F103" i="19"/>
  <c r="F102" i="19"/>
  <c r="F101" i="19"/>
  <c r="H100" i="19"/>
  <c r="D100" i="19"/>
  <c r="D140" i="19" s="1"/>
  <c r="F99" i="19"/>
  <c r="F98" i="19"/>
  <c r="F92" i="19"/>
  <c r="F91" i="19"/>
  <c r="F90" i="19"/>
  <c r="F89" i="19"/>
  <c r="F88" i="19"/>
  <c r="F87" i="19"/>
  <c r="H86" i="19"/>
  <c r="F86" i="19" s="1"/>
  <c r="F85" i="19"/>
  <c r="F84" i="19"/>
  <c r="H83" i="19"/>
  <c r="D83" i="19"/>
  <c r="F82" i="19"/>
  <c r="D81" i="19"/>
  <c r="F81" i="19" s="1"/>
  <c r="F80" i="19"/>
  <c r="F79" i="19" s="1"/>
  <c r="D80" i="19"/>
  <c r="H79" i="19"/>
  <c r="D79" i="19"/>
  <c r="F78" i="19"/>
  <c r="D77" i="19"/>
  <c r="F77" i="19" s="1"/>
  <c r="F76" i="19"/>
  <c r="D76" i="19"/>
  <c r="H75" i="19"/>
  <c r="F74" i="19"/>
  <c r="F73" i="19"/>
  <c r="H72" i="19"/>
  <c r="F72" i="19"/>
  <c r="D72" i="19"/>
  <c r="F71" i="19"/>
  <c r="H70" i="19"/>
  <c r="D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H55" i="19"/>
  <c r="D55" i="19"/>
  <c r="D54" i="19"/>
  <c r="F54" i="19" s="1"/>
  <c r="F53" i="19"/>
  <c r="F52" i="19"/>
  <c r="F51" i="19"/>
  <c r="F50" i="19"/>
  <c r="F49" i="19"/>
  <c r="F48" i="19"/>
  <c r="D47" i="19"/>
  <c r="F47" i="19" s="1"/>
  <c r="F46" i="19"/>
  <c r="F45" i="19"/>
  <c r="D44" i="19"/>
  <c r="F44" i="19" s="1"/>
  <c r="H43" i="19"/>
  <c r="F42" i="19"/>
  <c r="D41" i="19"/>
  <c r="F41" i="19" s="1"/>
  <c r="F40" i="19"/>
  <c r="H39" i="19"/>
  <c r="F38" i="19"/>
  <c r="F37" i="19"/>
  <c r="F36" i="19"/>
  <c r="F35" i="19"/>
  <c r="H34" i="19"/>
  <c r="D34" i="19"/>
  <c r="F32" i="19"/>
  <c r="F31" i="19"/>
  <c r="H24" i="19"/>
  <c r="F23" i="19"/>
  <c r="F22" i="19"/>
  <c r="D21" i="19"/>
  <c r="F21" i="19" s="1"/>
  <c r="F20" i="19"/>
  <c r="F125" i="19" l="1"/>
  <c r="D39" i="19"/>
  <c r="F39" i="19"/>
  <c r="H93" i="19"/>
  <c r="F70" i="19"/>
  <c r="D75" i="19"/>
  <c r="F75" i="19" s="1"/>
  <c r="F123" i="19"/>
  <c r="F119" i="19"/>
  <c r="F100" i="19"/>
  <c r="F83" i="19"/>
  <c r="F55" i="19"/>
  <c r="F34" i="19"/>
  <c r="F24" i="19"/>
  <c r="D43" i="19"/>
  <c r="D24" i="19"/>
  <c r="H140" i="19"/>
  <c r="F138" i="18"/>
  <c r="F137" i="18"/>
  <c r="F136" i="18"/>
  <c r="F135" i="18"/>
  <c r="F134" i="18"/>
  <c r="F133" i="18"/>
  <c r="H132" i="18"/>
  <c r="F132" i="18" s="1"/>
  <c r="H131" i="18"/>
  <c r="H130" i="18"/>
  <c r="F117" i="18"/>
  <c r="H116" i="18"/>
  <c r="D116" i="18"/>
  <c r="F116" i="18" s="1"/>
  <c r="F140" i="19" l="1"/>
  <c r="D93" i="19"/>
  <c r="F43" i="19"/>
  <c r="F93" i="19" s="1"/>
  <c r="D107" i="18"/>
  <c r="H124" i="18"/>
  <c r="F129" i="18"/>
  <c r="H118" i="18"/>
  <c r="F120" i="18"/>
  <c r="F121" i="18"/>
  <c r="H105" i="18"/>
  <c r="F106" i="18"/>
  <c r="F105" i="18" s="1"/>
  <c r="H99" i="18"/>
  <c r="F83" i="18"/>
  <c r="F149" i="18"/>
  <c r="F148" i="18"/>
  <c r="F147" i="18"/>
  <c r="F146" i="18"/>
  <c r="F145" i="18"/>
  <c r="D144" i="18"/>
  <c r="D150" i="18" s="1"/>
  <c r="F131" i="18"/>
  <c r="F130" i="18" s="1"/>
  <c r="D130" i="18"/>
  <c r="F128" i="18"/>
  <c r="F127" i="18"/>
  <c r="F126" i="18"/>
  <c r="F125" i="18"/>
  <c r="D124" i="18"/>
  <c r="F123" i="18"/>
  <c r="H122" i="18"/>
  <c r="F119" i="18"/>
  <c r="D118" i="18"/>
  <c r="F115" i="18"/>
  <c r="F114" i="18"/>
  <c r="F113" i="18"/>
  <c r="F112" i="18"/>
  <c r="F111" i="18"/>
  <c r="F110" i="18"/>
  <c r="F109" i="18"/>
  <c r="F108" i="18"/>
  <c r="H107" i="18"/>
  <c r="F104" i="18"/>
  <c r="F103" i="18"/>
  <c r="F102" i="18"/>
  <c r="D101" i="18"/>
  <c r="D99" i="18" s="1"/>
  <c r="F100" i="18"/>
  <c r="F98" i="18"/>
  <c r="F97" i="18"/>
  <c r="F91" i="18"/>
  <c r="F90" i="18"/>
  <c r="F89" i="18"/>
  <c r="F88" i="18"/>
  <c r="F87" i="18"/>
  <c r="F86" i="18"/>
  <c r="H85" i="18"/>
  <c r="F85" i="18" s="1"/>
  <c r="F84" i="18"/>
  <c r="H82" i="18"/>
  <c r="D82" i="18"/>
  <c r="F81" i="18"/>
  <c r="D80" i="18"/>
  <c r="F80" i="18" s="1"/>
  <c r="D79" i="18"/>
  <c r="F79" i="18" s="1"/>
  <c r="F78" i="18" s="1"/>
  <c r="H78" i="18"/>
  <c r="D78" i="18"/>
  <c r="F77" i="18"/>
  <c r="D76" i="18"/>
  <c r="F76" i="18" s="1"/>
  <c r="F75" i="18"/>
  <c r="D75" i="18"/>
  <c r="H74" i="18"/>
  <c r="D74" i="18"/>
  <c r="F73" i="18"/>
  <c r="F72" i="18"/>
  <c r="H71" i="18"/>
  <c r="D71" i="18"/>
  <c r="F70" i="18"/>
  <c r="H69" i="18"/>
  <c r="D69" i="18"/>
  <c r="F69" i="18" s="1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H54" i="18"/>
  <c r="D54" i="18"/>
  <c r="D53" i="18"/>
  <c r="F53" i="18" s="1"/>
  <c r="F52" i="18"/>
  <c r="F51" i="18"/>
  <c r="F50" i="18"/>
  <c r="F49" i="18"/>
  <c r="F48" i="18"/>
  <c r="F47" i="18"/>
  <c r="D46" i="18"/>
  <c r="F46" i="18" s="1"/>
  <c r="F45" i="18"/>
  <c r="F44" i="18"/>
  <c r="D43" i="18"/>
  <c r="F43" i="18" s="1"/>
  <c r="H42" i="18"/>
  <c r="F41" i="18"/>
  <c r="D40" i="18"/>
  <c r="F40" i="18" s="1"/>
  <c r="F39" i="18"/>
  <c r="H38" i="18"/>
  <c r="D38" i="18"/>
  <c r="F37" i="18"/>
  <c r="F36" i="18"/>
  <c r="F35" i="18"/>
  <c r="F34" i="18"/>
  <c r="H33" i="18"/>
  <c r="D33" i="18"/>
  <c r="F32" i="18"/>
  <c r="F31" i="18"/>
  <c r="H24" i="18"/>
  <c r="F23" i="18"/>
  <c r="F22" i="18"/>
  <c r="D21" i="18"/>
  <c r="F21" i="18" s="1"/>
  <c r="F20" i="18"/>
  <c r="H139" i="18" l="1"/>
  <c r="F144" i="18"/>
  <c r="F150" i="18" s="1"/>
  <c r="F33" i="18"/>
  <c r="F124" i="18"/>
  <c r="F38" i="18"/>
  <c r="F71" i="18"/>
  <c r="F118" i="18"/>
  <c r="F101" i="18"/>
  <c r="F99" i="18"/>
  <c r="F139" i="18" s="1"/>
  <c r="F107" i="18"/>
  <c r="F82" i="18"/>
  <c r="F74" i="18"/>
  <c r="H92" i="18"/>
  <c r="F54" i="18"/>
  <c r="F24" i="18"/>
  <c r="D42" i="18"/>
  <c r="F42" i="18" s="1"/>
  <c r="D122" i="18"/>
  <c r="F122" i="18" s="1"/>
  <c r="D24" i="18"/>
  <c r="D139" i="18" l="1"/>
  <c r="F92" i="18"/>
  <c r="D92" i="18"/>
  <c r="F108" i="16" l="1"/>
  <c r="F109" i="16"/>
  <c r="F110" i="16"/>
  <c r="F111" i="16"/>
  <c r="F112" i="16"/>
  <c r="F113" i="16"/>
  <c r="H116" i="16"/>
  <c r="H118" i="16"/>
  <c r="F121" i="16"/>
  <c r="F119" i="16"/>
  <c r="F122" i="16"/>
  <c r="F120" i="16"/>
  <c r="F118" i="16"/>
  <c r="H105" i="16"/>
  <c r="H125" i="16" s="1"/>
  <c r="H85" i="16"/>
  <c r="F85" i="16" s="1"/>
  <c r="F135" i="16"/>
  <c r="F134" i="16"/>
  <c r="F133" i="16"/>
  <c r="F132" i="16"/>
  <c r="F131" i="16"/>
  <c r="D130" i="16"/>
  <c r="D136" i="16" s="1"/>
  <c r="F124" i="16"/>
  <c r="F123" i="16" s="1"/>
  <c r="H123" i="16"/>
  <c r="D123" i="16"/>
  <c r="D117" i="16"/>
  <c r="F117" i="16" s="1"/>
  <c r="F115" i="16"/>
  <c r="H114" i="16"/>
  <c r="D114" i="16"/>
  <c r="F114" i="16" s="1"/>
  <c r="F107" i="16"/>
  <c r="F106" i="16"/>
  <c r="D105" i="16"/>
  <c r="F104" i="16"/>
  <c r="F103" i="16"/>
  <c r="F102" i="16"/>
  <c r="D101" i="16"/>
  <c r="F101" i="16" s="1"/>
  <c r="F100" i="16"/>
  <c r="F98" i="16"/>
  <c r="F97" i="16"/>
  <c r="F91" i="16"/>
  <c r="F90" i="16"/>
  <c r="F89" i="16"/>
  <c r="F88" i="16"/>
  <c r="F87" i="16"/>
  <c r="F86" i="16"/>
  <c r="F84" i="16"/>
  <c r="F83" i="16"/>
  <c r="H82" i="16"/>
  <c r="D82" i="16"/>
  <c r="F81" i="16"/>
  <c r="D80" i="16"/>
  <c r="F80" i="16" s="1"/>
  <c r="D79" i="16"/>
  <c r="D78" i="16" s="1"/>
  <c r="H78" i="16"/>
  <c r="F77" i="16"/>
  <c r="D76" i="16"/>
  <c r="F76" i="16" s="1"/>
  <c r="D75" i="16"/>
  <c r="F75" i="16" s="1"/>
  <c r="H74" i="16"/>
  <c r="F73" i="16"/>
  <c r="F72" i="16"/>
  <c r="H71" i="16"/>
  <c r="D71" i="16"/>
  <c r="F70" i="16"/>
  <c r="H69" i="16"/>
  <c r="D69" i="16"/>
  <c r="F69" i="16" s="1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H54" i="16"/>
  <c r="D54" i="16"/>
  <c r="D53" i="16"/>
  <c r="F53" i="16" s="1"/>
  <c r="F52" i="16"/>
  <c r="F51" i="16"/>
  <c r="F50" i="16"/>
  <c r="F49" i="16"/>
  <c r="F48" i="16"/>
  <c r="F47" i="16"/>
  <c r="D46" i="16"/>
  <c r="F46" i="16" s="1"/>
  <c r="F45" i="16"/>
  <c r="F44" i="16"/>
  <c r="D43" i="16"/>
  <c r="D42" i="16" s="1"/>
  <c r="H42" i="16"/>
  <c r="F41" i="16"/>
  <c r="D40" i="16"/>
  <c r="F40" i="16" s="1"/>
  <c r="D38" i="16"/>
  <c r="H38" i="16"/>
  <c r="F37" i="16"/>
  <c r="F36" i="16"/>
  <c r="F35" i="16"/>
  <c r="F34" i="16"/>
  <c r="H33" i="16"/>
  <c r="D33" i="16"/>
  <c r="F33" i="16" s="1"/>
  <c r="F32" i="16"/>
  <c r="F31" i="16"/>
  <c r="H24" i="16"/>
  <c r="F23" i="16"/>
  <c r="F22" i="16"/>
  <c r="D21" i="16"/>
  <c r="F21" i="16" s="1"/>
  <c r="F20" i="16"/>
  <c r="F79" i="16" l="1"/>
  <c r="F54" i="16"/>
  <c r="F71" i="16"/>
  <c r="D118" i="16"/>
  <c r="F105" i="16"/>
  <c r="F82" i="16"/>
  <c r="F130" i="16"/>
  <c r="F136" i="16" s="1"/>
  <c r="F42" i="16"/>
  <c r="H92" i="16"/>
  <c r="F38" i="16"/>
  <c r="F24" i="16"/>
  <c r="F78" i="16"/>
  <c r="D24" i="16"/>
  <c r="F39" i="16"/>
  <c r="F43" i="16"/>
  <c r="D99" i="16"/>
  <c r="D116" i="16"/>
  <c r="F116" i="16" s="1"/>
  <c r="D74" i="16"/>
  <c r="F74" i="16" s="1"/>
  <c r="F92" i="16" l="1"/>
  <c r="D125" i="16"/>
  <c r="F99" i="16"/>
  <c r="F125" i="16" s="1"/>
  <c r="D92" i="16"/>
  <c r="H72" i="14"/>
  <c r="F64" i="14"/>
  <c r="H76" i="14" l="1"/>
  <c r="D121" i="14"/>
  <c r="F121" i="14" s="1"/>
  <c r="F120" i="14"/>
  <c r="H65" i="13"/>
  <c r="F83" i="14"/>
  <c r="F122" i="14" l="1"/>
  <c r="F119" i="14"/>
  <c r="F118" i="14"/>
  <c r="D117" i="14"/>
  <c r="D123" i="14" s="1"/>
  <c r="F111" i="14"/>
  <c r="F110" i="14" s="1"/>
  <c r="H110" i="14"/>
  <c r="D110" i="14"/>
  <c r="D109" i="14"/>
  <c r="D108" i="14" s="1"/>
  <c r="H108" i="14"/>
  <c r="F107" i="14"/>
  <c r="H106" i="14"/>
  <c r="D106" i="14"/>
  <c r="F105" i="14"/>
  <c r="F104" i="14"/>
  <c r="H103" i="14"/>
  <c r="F102" i="14"/>
  <c r="F100" i="14"/>
  <c r="D99" i="14"/>
  <c r="F99" i="14" s="1"/>
  <c r="F98" i="14"/>
  <c r="F96" i="14"/>
  <c r="F95" i="14"/>
  <c r="F89" i="14"/>
  <c r="F88" i="14"/>
  <c r="F87" i="14"/>
  <c r="F86" i="14"/>
  <c r="F85" i="14"/>
  <c r="F84" i="14"/>
  <c r="F82" i="14"/>
  <c r="F81" i="14"/>
  <c r="H80" i="14"/>
  <c r="F79" i="14"/>
  <c r="D78" i="14"/>
  <c r="F78" i="14" s="1"/>
  <c r="D77" i="14"/>
  <c r="D75" i="14"/>
  <c r="F75" i="14" s="1"/>
  <c r="D74" i="14"/>
  <c r="F74" i="14" s="1"/>
  <c r="D73" i="14"/>
  <c r="F73" i="14" s="1"/>
  <c r="F71" i="14"/>
  <c r="F70" i="14"/>
  <c r="H69" i="14"/>
  <c r="D69" i="14"/>
  <c r="F68" i="14"/>
  <c r="H67" i="14"/>
  <c r="F66" i="14"/>
  <c r="F65" i="14"/>
  <c r="F63" i="14"/>
  <c r="F62" i="14"/>
  <c r="F61" i="14"/>
  <c r="F60" i="14"/>
  <c r="F59" i="14"/>
  <c r="F58" i="14"/>
  <c r="F57" i="14"/>
  <c r="D56" i="14"/>
  <c r="D52" i="14" s="1"/>
  <c r="F55" i="14"/>
  <c r="F54" i="14"/>
  <c r="F53" i="14"/>
  <c r="H52" i="14"/>
  <c r="D51" i="14"/>
  <c r="F51" i="14" s="1"/>
  <c r="F50" i="14"/>
  <c r="F49" i="14"/>
  <c r="F48" i="14"/>
  <c r="F47" i="14"/>
  <c r="F46" i="14"/>
  <c r="D45" i="14"/>
  <c r="F45" i="14" s="1"/>
  <c r="D44" i="14"/>
  <c r="F44" i="14" s="1"/>
  <c r="F43" i="14"/>
  <c r="D42" i="14"/>
  <c r="F42" i="14" s="1"/>
  <c r="D41" i="14"/>
  <c r="F41" i="14" s="1"/>
  <c r="H40" i="14"/>
  <c r="F39" i="14"/>
  <c r="D38" i="14"/>
  <c r="F38" i="14" s="1"/>
  <c r="D37" i="14"/>
  <c r="F37" i="14" s="1"/>
  <c r="H36" i="14"/>
  <c r="F35" i="14"/>
  <c r="F34" i="14"/>
  <c r="F33" i="14"/>
  <c r="F32" i="14"/>
  <c r="H31" i="14"/>
  <c r="D31" i="14"/>
  <c r="F29" i="14"/>
  <c r="H22" i="14"/>
  <c r="F21" i="14"/>
  <c r="F20" i="14"/>
  <c r="D19" i="14"/>
  <c r="D22" i="14" s="1"/>
  <c r="F18" i="14"/>
  <c r="F109" i="14" l="1"/>
  <c r="F117" i="14"/>
  <c r="F123" i="14" s="1"/>
  <c r="F106" i="14"/>
  <c r="F108" i="14"/>
  <c r="F69" i="14"/>
  <c r="F101" i="14"/>
  <c r="F19" i="14"/>
  <c r="F22" i="14" s="1"/>
  <c r="H90" i="14"/>
  <c r="D67" i="14"/>
  <c r="F67" i="14" s="1"/>
  <c r="D97" i="14"/>
  <c r="H112" i="14"/>
  <c r="F56" i="14"/>
  <c r="F52" i="14" s="1"/>
  <c r="D76" i="14"/>
  <c r="F30" i="14"/>
  <c r="D36" i="14"/>
  <c r="F36" i="14" s="1"/>
  <c r="D72" i="14"/>
  <c r="F72" i="14" s="1"/>
  <c r="F77" i="14"/>
  <c r="F76" i="14" s="1"/>
  <c r="D80" i="14"/>
  <c r="F80" i="14" s="1"/>
  <c r="D40" i="14"/>
  <c r="F40" i="14" s="1"/>
  <c r="D103" i="14"/>
  <c r="F31" i="14"/>
  <c r="F114" i="13"/>
  <c r="H105" i="13"/>
  <c r="H104" i="13" s="1"/>
  <c r="F97" i="14" l="1"/>
  <c r="D112" i="14"/>
  <c r="D90" i="14"/>
  <c r="F90" i="14"/>
  <c r="F103" i="14"/>
  <c r="H113" i="13"/>
  <c r="D113" i="13"/>
  <c r="D104" i="13"/>
  <c r="F105" i="13"/>
  <c r="F73" i="13"/>
  <c r="H72" i="13"/>
  <c r="D72" i="13"/>
  <c r="H86" i="13"/>
  <c r="H83" i="13"/>
  <c r="F68" i="13"/>
  <c r="F24" i="13"/>
  <c r="F25" i="13"/>
  <c r="F112" i="14" l="1"/>
  <c r="F104" i="13"/>
  <c r="F72" i="13"/>
  <c r="D123" i="13"/>
  <c r="F123" i="13" s="1"/>
  <c r="F122" i="13"/>
  <c r="F121" i="13"/>
  <c r="F113" i="13"/>
  <c r="D112" i="13"/>
  <c r="F112" i="13" s="1"/>
  <c r="H111" i="13"/>
  <c r="F110" i="13"/>
  <c r="H109" i="13"/>
  <c r="D109" i="13"/>
  <c r="F108" i="13"/>
  <c r="D107" i="13"/>
  <c r="F107" i="13" s="1"/>
  <c r="H106" i="13"/>
  <c r="D106" i="13"/>
  <c r="F103" i="13"/>
  <c r="D102" i="13"/>
  <c r="F102" i="13" s="1"/>
  <c r="F101" i="13"/>
  <c r="H100" i="13"/>
  <c r="F99" i="13"/>
  <c r="F98" i="13"/>
  <c r="F92" i="13"/>
  <c r="F91" i="13"/>
  <c r="F90" i="13"/>
  <c r="F89" i="13"/>
  <c r="F88" i="13"/>
  <c r="F87" i="13"/>
  <c r="D86" i="13"/>
  <c r="F86" i="13" s="1"/>
  <c r="D85" i="13"/>
  <c r="F85" i="13" s="1"/>
  <c r="D84" i="13"/>
  <c r="F82" i="13"/>
  <c r="D81" i="13"/>
  <c r="F81" i="13" s="1"/>
  <c r="D80" i="13"/>
  <c r="F80" i="13" s="1"/>
  <c r="D78" i="13"/>
  <c r="F78" i="13" s="1"/>
  <c r="D77" i="13"/>
  <c r="D76" i="13"/>
  <c r="F76" i="13" s="1"/>
  <c r="H75" i="13"/>
  <c r="F74" i="13"/>
  <c r="D71" i="13"/>
  <c r="F71" i="13" s="1"/>
  <c r="H70" i="13"/>
  <c r="D69" i="13"/>
  <c r="F69" i="13" s="1"/>
  <c r="F67" i="13"/>
  <c r="F66" i="13"/>
  <c r="F65" i="13"/>
  <c r="F64" i="13"/>
  <c r="F63" i="13"/>
  <c r="F62" i="13"/>
  <c r="F61" i="13"/>
  <c r="D60" i="13"/>
  <c r="D56" i="13" s="1"/>
  <c r="F59" i="13"/>
  <c r="F58" i="13"/>
  <c r="F57" i="13"/>
  <c r="H56" i="13"/>
  <c r="D55" i="13"/>
  <c r="F55" i="13" s="1"/>
  <c r="F54" i="13"/>
  <c r="F53" i="13"/>
  <c r="F52" i="13"/>
  <c r="F51" i="13"/>
  <c r="F50" i="13"/>
  <c r="D49" i="13"/>
  <c r="F49" i="13" s="1"/>
  <c r="D48" i="13"/>
  <c r="F48" i="13" s="1"/>
  <c r="F47" i="13"/>
  <c r="D46" i="13"/>
  <c r="F46" i="13" s="1"/>
  <c r="D45" i="13"/>
  <c r="H44" i="13"/>
  <c r="D43" i="13"/>
  <c r="F43" i="13" s="1"/>
  <c r="D42" i="13"/>
  <c r="F42" i="13" s="1"/>
  <c r="D41" i="13"/>
  <c r="F41" i="13" s="1"/>
  <c r="H40" i="13"/>
  <c r="F39" i="13"/>
  <c r="F38" i="13"/>
  <c r="F37" i="13"/>
  <c r="F36" i="13"/>
  <c r="H35" i="13"/>
  <c r="D35" i="13"/>
  <c r="D34" i="13"/>
  <c r="F34" i="13" s="1"/>
  <c r="D33" i="13"/>
  <c r="H26" i="13"/>
  <c r="D23" i="13"/>
  <c r="F23" i="13" s="1"/>
  <c r="D22" i="13"/>
  <c r="H115" i="13" l="1"/>
  <c r="D79" i="13"/>
  <c r="D40" i="13"/>
  <c r="F40" i="13" s="1"/>
  <c r="H93" i="13"/>
  <c r="F106" i="13"/>
  <c r="F120" i="13"/>
  <c r="F124" i="13" s="1"/>
  <c r="D26" i="13"/>
  <c r="F22" i="13"/>
  <c r="F26" i="13" s="1"/>
  <c r="D44" i="13"/>
  <c r="F44" i="13" s="1"/>
  <c r="F60" i="13"/>
  <c r="F56" i="13" s="1"/>
  <c r="D75" i="13"/>
  <c r="F75" i="13" s="1"/>
  <c r="D83" i="13"/>
  <c r="F83" i="13" s="1"/>
  <c r="D100" i="13"/>
  <c r="F100" i="13" s="1"/>
  <c r="F35" i="13"/>
  <c r="F79" i="13"/>
  <c r="D120" i="13"/>
  <c r="D124" i="13" s="1"/>
  <c r="F45" i="13"/>
  <c r="F77" i="13"/>
  <c r="F33" i="13"/>
  <c r="F84" i="13"/>
  <c r="D111" i="13"/>
  <c r="F111" i="13" s="1"/>
  <c r="D70" i="13"/>
  <c r="F70" i="13" s="1"/>
  <c r="F109" i="13"/>
  <c r="D20" i="11"/>
  <c r="D126" i="11"/>
  <c r="F126" i="11" s="1"/>
  <c r="D123" i="11" l="1"/>
  <c r="F115" i="13"/>
  <c r="F93" i="13"/>
  <c r="D115" i="13"/>
  <c r="D93" i="13"/>
  <c r="F98" i="11"/>
  <c r="D98" i="11"/>
  <c r="F102" i="11"/>
  <c r="D80" i="11"/>
  <c r="D79" i="11"/>
  <c r="F77" i="11"/>
  <c r="F48" i="11"/>
  <c r="D46" i="11"/>
  <c r="F124" i="11" l="1"/>
  <c r="D106" i="11"/>
  <c r="F106" i="11" s="1"/>
  <c r="H105" i="11"/>
  <c r="D103" i="11"/>
  <c r="D101" i="11"/>
  <c r="D100" i="11" s="1"/>
  <c r="D32" i="11"/>
  <c r="D31" i="11"/>
  <c r="D81" i="11"/>
  <c r="F81" i="11" s="1"/>
  <c r="F87" i="11"/>
  <c r="F86" i="11"/>
  <c r="F85" i="11"/>
  <c r="F84" i="11"/>
  <c r="F83" i="11"/>
  <c r="F82" i="11"/>
  <c r="D76" i="11"/>
  <c r="D75" i="11"/>
  <c r="D74" i="11" s="1"/>
  <c r="D73" i="11"/>
  <c r="D71" i="11"/>
  <c r="D72" i="11"/>
  <c r="D68" i="11"/>
  <c r="D67" i="11" s="1"/>
  <c r="H67" i="11"/>
  <c r="D66" i="11"/>
  <c r="F63" i="11"/>
  <c r="D58" i="11"/>
  <c r="D53" i="11"/>
  <c r="F52" i="11"/>
  <c r="D44" i="11"/>
  <c r="D43" i="11"/>
  <c r="D39" i="11"/>
  <c r="D41" i="11"/>
  <c r="D40" i="11"/>
  <c r="F36" i="11"/>
  <c r="D19" i="11"/>
  <c r="D105" i="11" l="1"/>
  <c r="F105" i="11" s="1"/>
  <c r="D70" i="11"/>
  <c r="F67" i="11"/>
  <c r="F68" i="11"/>
  <c r="F125" i="11" l="1"/>
  <c r="F123" i="11" s="1"/>
  <c r="D109" i="11"/>
  <c r="F115" i="11"/>
  <c r="F114" i="11"/>
  <c r="F110" i="11"/>
  <c r="F108" i="11"/>
  <c r="D96" i="11"/>
  <c r="D117" i="11" s="1"/>
  <c r="F64" i="11"/>
  <c r="F62" i="11"/>
  <c r="F61" i="11"/>
  <c r="F60" i="11"/>
  <c r="F65" i="11"/>
  <c r="F59" i="11"/>
  <c r="F43" i="11"/>
  <c r="F51" i="11"/>
  <c r="F49" i="11"/>
  <c r="D127" i="11" l="1"/>
  <c r="F127" i="11" l="1"/>
  <c r="F97" i="11" l="1"/>
  <c r="F107" i="11" l="1"/>
  <c r="F75" i="11"/>
  <c r="F76" i="11"/>
  <c r="D78" i="11"/>
  <c r="F74" i="11" l="1"/>
  <c r="F112" i="11"/>
  <c r="F113" i="11"/>
  <c r="F116" i="11"/>
  <c r="F111" i="11"/>
  <c r="D47" i="11"/>
  <c r="D42" i="11" s="1"/>
  <c r="F99" i="11" l="1"/>
  <c r="H96" i="11"/>
  <c r="F96" i="11" l="1"/>
  <c r="F79" i="11" l="1"/>
  <c r="F80" i="11"/>
  <c r="F71" i="11"/>
  <c r="H70" i="11"/>
  <c r="F69" i="11"/>
  <c r="F70" i="11" l="1"/>
  <c r="F78" i="11"/>
  <c r="D54" i="11"/>
  <c r="D38" i="11"/>
  <c r="F109" i="11" l="1"/>
  <c r="H103" i="11"/>
  <c r="F104" i="11"/>
  <c r="F101" i="11"/>
  <c r="H100" i="11"/>
  <c r="F95" i="11"/>
  <c r="F94" i="11"/>
  <c r="F73" i="11"/>
  <c r="F72" i="11"/>
  <c r="F66" i="11"/>
  <c r="F58" i="11"/>
  <c r="F57" i="11"/>
  <c r="F56" i="11"/>
  <c r="F55" i="11"/>
  <c r="H54" i="11"/>
  <c r="F53" i="11"/>
  <c r="F50" i="11"/>
  <c r="F47" i="11"/>
  <c r="F46" i="11"/>
  <c r="F45" i="11"/>
  <c r="F44" i="11"/>
  <c r="H42" i="11"/>
  <c r="F41" i="11"/>
  <c r="F40" i="11"/>
  <c r="F39" i="11"/>
  <c r="H38" i="11"/>
  <c r="F38" i="11" s="1"/>
  <c r="F37" i="11"/>
  <c r="F35" i="11"/>
  <c r="F34" i="11"/>
  <c r="H33" i="11"/>
  <c r="D33" i="11"/>
  <c r="D88" i="11" s="1"/>
  <c r="F32" i="11"/>
  <c r="F31" i="11"/>
  <c r="H23" i="11"/>
  <c r="F21" i="11"/>
  <c r="D23" i="11"/>
  <c r="H117" i="11" l="1"/>
  <c r="F54" i="11"/>
  <c r="F33" i="11"/>
  <c r="F103" i="11"/>
  <c r="F100" i="11"/>
  <c r="F117" i="11" s="1"/>
  <c r="F42" i="11"/>
  <c r="F88" i="11" l="1"/>
</calcChain>
</file>

<file path=xl/sharedStrings.xml><?xml version="1.0" encoding="utf-8"?>
<sst xmlns="http://schemas.openxmlformats.org/spreadsheetml/2006/main" count="1078" uniqueCount="242">
  <si>
    <t>Протокол</t>
  </si>
  <si>
    <t>Наблюдательного Совета Муниципального автономного  учреждения</t>
  </si>
  <si>
    <t>Детский оздоровительный лагерь «Спутник»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</si>
  <si>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14 час. 00 мин.</t>
  </si>
  <si>
    <t>Раздел «Показатели по поступлениям и выплатам учреждения»</t>
  </si>
  <si>
    <t>Было</t>
  </si>
  <si>
    <t>Стало</t>
  </si>
  <si>
    <t>Субсидия на выполнение муниципального задания</t>
  </si>
  <si>
    <t>Субсидия на иные цели</t>
  </si>
  <si>
    <t>Бюджетные инвестиции</t>
  </si>
  <si>
    <t>Поступления от иной приносящей доход деятельности</t>
  </si>
  <si>
    <t>ИТОГО:</t>
  </si>
  <si>
    <t>1.«Выплаты за счет субсидий на выполнение муниципального задания, всего»:</t>
  </si>
  <si>
    <t>Причины</t>
  </si>
  <si>
    <t>Изменения</t>
  </si>
  <si>
    <t>211.  Заработная плата</t>
  </si>
  <si>
    <t>213. Начисления на выплаты по оплате труда</t>
  </si>
  <si>
    <t>223. Коммунальные услуги, всего</t>
  </si>
  <si>
    <t>221.  Услуги связи ,всего</t>
  </si>
  <si>
    <t>225. Работы, услуги по содержанию имущества</t>
  </si>
  <si>
    <t>226. Прочие услуги (выполнение работ)</t>
  </si>
  <si>
    <t>Утверждено</t>
  </si>
  <si>
    <t>техническое обслуживание внутренней вентиляции</t>
  </si>
  <si>
    <t xml:space="preserve">обновление противопожарных полос </t>
  </si>
  <si>
    <t>налог за использование водных ресурсов</t>
  </si>
  <si>
    <t>291.  Налоги, пошлины и сборы</t>
  </si>
  <si>
    <t>295. Другие экономические санкции (штрафы)</t>
  </si>
  <si>
    <t xml:space="preserve">Результаты голосования:  «за» - 6   человек
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</si>
  <si>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</si>
  <si>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Слесарева Светлана Геннадьевна – представитель общественности
Отсутствует:  нет
</t>
  </si>
  <si>
    <t>Ход заседания:</t>
  </si>
  <si>
    <t>227. Страхование</t>
  </si>
  <si>
    <t>техническое обследование системы пожаротушения</t>
  </si>
  <si>
    <t>лабораторные исследование воды</t>
  </si>
  <si>
    <t>341. Увеличение стоимости лекарственных препаратов и материалов, применяемых в медицинских целях</t>
  </si>
  <si>
    <t>346.Увеличение стоимости прочих оборотных запасов (материалов)</t>
  </si>
  <si>
    <t>услуги ФГУЗ ЦСЭН (дератизация и дезинфекция помещений и дератизационные работы на открытых территориях,доакарицидная обработка против клещей и акарицидная обработка)</t>
  </si>
  <si>
    <t>услуги прачки (1620 кг*42,00)</t>
  </si>
  <si>
    <t>344. Увеличение стоимости строительных материалов</t>
  </si>
  <si>
    <t>343.Увеличение стоимости горюче-смазочных материалов</t>
  </si>
  <si>
    <t xml:space="preserve">349. Приобретение  прочих материальных запасов однократного применения </t>
  </si>
  <si>
    <t>услуги интернет (1200,00*12 месяцев)</t>
  </si>
  <si>
    <t>браслет светящийся-224 шт</t>
  </si>
  <si>
    <t>наклейки-224 шт</t>
  </si>
  <si>
    <t>магниты-224 шт</t>
  </si>
  <si>
    <t>грамоты-224 шт</t>
  </si>
  <si>
    <t>налог УСН (1/2 в связи с оплатой страховых зносов)</t>
  </si>
  <si>
    <t>услуги по уборке территории и в 50 м зоне за территорией лагеря (согласно п.4.1.2."Методические указания 3.5.3011-12"). Подготовка к проверки Департамента Лесного хозяйства</t>
  </si>
  <si>
    <t>вневедомственная охрана  3 месяца*100000,00</t>
  </si>
  <si>
    <t>2. «Выплаты за счет поступлений от приносящей доход деятельности, всего»:</t>
  </si>
  <si>
    <t xml:space="preserve">3.«Выплаты за счет субсидии на иные цели, всего» </t>
  </si>
  <si>
    <t>измерение сопротивления изоляции электропроводки в зданиях столовой, котельной, скважина</t>
  </si>
  <si>
    <t>микроклимат, исскусственная освещенность, измерение МЭД,измерение ЭРОА помещений</t>
  </si>
  <si>
    <t>обслуживание сайта</t>
  </si>
  <si>
    <t>обновление программы 1С</t>
  </si>
  <si>
    <t>обучение сотрудников (2 чел- пожарный минимум)</t>
  </si>
  <si>
    <t>экспертное заключения для отрытия лагеря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</si>
  <si>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</t>
    </r>
    <r>
      <rPr>
        <i/>
        <u/>
        <sz val="10"/>
        <rFont val="Times New Roman"/>
        <family val="1"/>
        <charset val="204"/>
      </rPr>
      <t xml:space="preserve">             хоз.товар </t>
    </r>
    <r>
      <rPr>
        <i/>
        <sz val="10"/>
        <rFont val="Times New Roman"/>
        <family val="1"/>
        <charset val="204"/>
      </rPr>
      <t>(стаканы одноразовые-6000 шт, перчатки рен.-20 пар,перчатки х/б-30 пар, антисептик- 20 шт, материалы для кружков -лента-100м)</t>
    </r>
  </si>
  <si>
    <t>сувениры-224 шт</t>
  </si>
  <si>
    <t>благодарственное письмо-10 шт</t>
  </si>
  <si>
    <t>бутилированная вода -30 шт</t>
  </si>
  <si>
    <t>экспертиза по  огнезащитной обработки</t>
  </si>
  <si>
    <t xml:space="preserve"> обновление АМБа (200 лицевых счетов)</t>
  </si>
  <si>
    <t>310. Увеличение стоимости основных средств</t>
  </si>
  <si>
    <t xml:space="preserve">от  19.12.2022 года                                                                                                     № 11
</t>
  </si>
  <si>
    <t>Повестка дня                                                                                                                                                                           1.Утверждение плана финансово-хозяйственной деятельности на 2023 год.                                                                           2.Утверждение плана закупки товаров, работ, услуг на 2023 год.                                                                                                                          4.Рассмотрение публичного отчета директора за 2022 год.</t>
  </si>
  <si>
    <t>Строка «Поступления, от доходов всего» 11 238 301,40 руб., в том числе:</t>
  </si>
  <si>
    <t>Строка «Выплаты по расходам, всего»  11 238 301,40  руб., в том числе:</t>
  </si>
  <si>
    <t>повременная оплата (0,77*360 минут)</t>
  </si>
  <si>
    <t>плата за линию (220,60*12 месяцев)</t>
  </si>
  <si>
    <t>абонентская плата (оздоровительного сезона 3 месяца*500,00)</t>
  </si>
  <si>
    <t>услуги ассенизаторной машины(ЖБО)                           3 месяца*2800,19</t>
  </si>
  <si>
    <t>услуги по обращению с твердыми коммунальными отходами (70 м3*293,78)</t>
  </si>
  <si>
    <t>электроэнергия (75000 кВт*7,55)</t>
  </si>
  <si>
    <t>обслуживание системы отопление , водоснабжения и канализационную                                                              (закуск-20000,00,                                                         обслуживание 3 месяца *10000,00,                                                                                  опрессовка-15000,00)</t>
  </si>
  <si>
    <t>техническое обслуживание комплекса технический средств                                                                               (пожарной сиганализации   3месяца*2750=8250,00,                    видеонаблюдения 3месяца*2000=6000,00,                 обслуживание СКУД 3месяца*1000,00=3000,00)</t>
  </si>
  <si>
    <t xml:space="preserve"> испытание противопожарных дверей                         (14 шт.*500,00)</t>
  </si>
  <si>
    <t>реагирование нарядов вневедомственной охраны                  (3 месяца*10429,44)</t>
  </si>
  <si>
    <t>Контур-Экстерн</t>
  </si>
  <si>
    <t>организация питания детей                        (56чел.*520,00*21 день*1 смена;                                             56 чел*520,00*10 дней*5 смен;                                       56 чел*520,00*7 дней*2 смены)</t>
  </si>
  <si>
    <t>страхование детей (448 чел.*15,00)</t>
  </si>
  <si>
    <t>уголь (25 тн*7500,00)</t>
  </si>
  <si>
    <t>бензин для триммера (140л*50,00)</t>
  </si>
  <si>
    <t>масло для триммера (ШТИЛЬ объем 1л                                   4 шт*780,00)</t>
  </si>
  <si>
    <t>краны в столовую (цеха)-4 шт*2150,00</t>
  </si>
  <si>
    <t>шланги подводные-30 шт*120,00</t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</si>
  <si>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-20 шт, файлы-200 шт,скрепки-10 уп., регистры-5 шт, бумага А4-15 уп, ручки-1 шт)                                                                                                                        </t>
    </r>
    <r>
      <rPr>
        <i/>
        <u/>
        <sz val="10"/>
        <color theme="1"/>
        <rFont val="Times New Roman"/>
        <family val="1"/>
        <charset val="204"/>
      </rPr>
      <t>Для оздоровительного сезона:</t>
    </r>
    <r>
      <rPr>
        <i/>
        <sz val="10"/>
        <color theme="1"/>
        <rFont val="Times New Roman"/>
        <family val="1"/>
        <charset val="204"/>
      </rPr>
      <t xml:space="preserve"> (кнопки-8 уп,линейки-2 шт, ручки-16 шт, гуашь-40 уп, карандаш пр.-28 шт,бумага А4-8 уп, ватман-60 шт, кисти-60 шт,маркер-62шт,клей-16 шт, скотч-32 уп,ножницы-8 шт, мел-32 уп, фломастеры- 30 уп)</t>
    </r>
    <r>
      <rPr>
        <i/>
        <u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 xml:space="preserve">      </t>
    </r>
  </si>
  <si>
    <t>браслет светящийся-448 шт</t>
  </si>
  <si>
    <t>наклейки-448 шт</t>
  </si>
  <si>
    <t>магниты-448 шт</t>
  </si>
  <si>
    <t>грамоты-448 шт</t>
  </si>
  <si>
    <t>благодарственное письмо-30 шт</t>
  </si>
  <si>
    <r>
      <rPr>
        <i/>
        <u/>
        <sz val="10"/>
        <color theme="1"/>
        <rFont val="Times New Roman"/>
        <family val="1"/>
        <charset val="204"/>
      </rPr>
      <t>хоз.товар</t>
    </r>
    <r>
      <rPr>
        <i/>
        <sz val="10"/>
        <color theme="1"/>
        <rFont val="Times New Roman"/>
        <family val="1"/>
        <charset val="204"/>
      </rPr>
      <t xml:space="preserve"> (средство для мытья полов-2 шт, средство для мылья окон-5 шт,  лентяйка-2 шт,веник-3 шт,метла-3 шт,кисти малярные-6 шт,перчатки резиновые -15 пар.,перчатки х/б-11 пар.)                                              </t>
    </r>
    <r>
      <rPr>
        <i/>
        <u/>
        <sz val="10"/>
        <color theme="1"/>
        <rFont val="Times New Roman"/>
        <family val="1"/>
        <charset val="204"/>
      </rPr>
      <t xml:space="preserve">Для оздоровительнного сезона </t>
    </r>
    <r>
      <rPr>
        <i/>
        <sz val="10"/>
        <color theme="1"/>
        <rFont val="Times New Roman"/>
        <family val="1"/>
        <charset val="204"/>
      </rPr>
      <t xml:space="preserve">(мешки для мусора-200 уп.,бумага туал.-600 шт, мыло жидкое-6 шт, стаканы одноразовые-12000 шт, салфетки-500 уп, материалы для кружков-ленты для плетения-100 м) </t>
    </r>
  </si>
  <si>
    <t>питание сотрудников (400чел/дней*350,00)</t>
  </si>
  <si>
    <t>уголь (20 тн*7500,00)</t>
  </si>
  <si>
    <t>текущий ремонт корпусов № 2 и 3 в МАУ ДОЛ "Спутник" (покраска стен и полов на веранде)</t>
  </si>
  <si>
    <t>текущий ремонт помещений столовой МАУ ДОЛ "Спутник" (покраска стен)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</si>
  <si>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2023 год.   </t>
  </si>
  <si>
    <t xml:space="preserve">
2. По второму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закупки товаров, работ, услуг на 2023 год.
</t>
  </si>
  <si>
    <t xml:space="preserve">Решили:  утвердить  плана закупки товаров, работ, услуг на 2023 год. </t>
  </si>
  <si>
    <t xml:space="preserve">
3. По третьему вопросу: директор Муниципального автономного  учреждения  Детский оздоровительный лагерь «Спутник» Фадеева Е.В.  представила на рассмотрение публичный отчет о проделанной работе за 2022 год.
</t>
  </si>
  <si>
    <t>Решили: принять публичный отчет за 2022 год</t>
  </si>
  <si>
    <t>камерная обработка матрасов (58 шт)</t>
  </si>
  <si>
    <t>эмаль-4 шт*400,00</t>
  </si>
  <si>
    <t>разработка и сдача лесной декларации</t>
  </si>
  <si>
    <t>прикроватные тумбочки (10 шт.*1864,30)</t>
  </si>
  <si>
    <t xml:space="preserve">текущий ремонт  столовой МАУ ДОЛ "Спутник" </t>
  </si>
  <si>
    <t xml:space="preserve">Повестка дня                                                                                                                                                                           </t>
  </si>
  <si>
    <t xml:space="preserve">1. По первому вопросу: директор Муниципального автономного учреждения Детский оздоровительный лагерь "Спутник" предложила утвердить увеличение стоимости путевки на оздоровительный сезон в размере 23500,00 руб.,согласно расчета (приложение №1)
</t>
  </si>
  <si>
    <t>Решили:  увеличить стоимость путевки на оздоровительный сезон в размере 23500,00 руб.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</si>
  <si>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________________Бушмарева Татьяна Анатольевна
</t>
  </si>
  <si>
    <t xml:space="preserve">от  15.02.2022 года                                                                                                     № 1
</t>
  </si>
  <si>
    <t xml:space="preserve">1. Утверждение стоимости путевки на оздоровительный сезон в размере 23500,00 рублей, согласно приложения №1 и №2
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</si>
  <si>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на 2023 год :
</t>
  </si>
  <si>
    <t>оказание услуг по определению величины арендной платы за пользование муниципальным имуществом</t>
  </si>
  <si>
    <t>страхование детей (336 чел.*15,00)</t>
  </si>
  <si>
    <t>браслет светящийся-336 шт</t>
  </si>
  <si>
    <t>наклейки-336 шт</t>
  </si>
  <si>
    <t>магниты-336 шт</t>
  </si>
  <si>
    <t>грамоты-336 шт</t>
  </si>
  <si>
    <t>бутилированная вода -18 шт</t>
  </si>
  <si>
    <t>мнемосхема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</si>
  <si>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</t>
    </r>
    <r>
      <rPr>
        <i/>
        <u/>
        <sz val="10"/>
        <rFont val="Times New Roman"/>
        <family val="1"/>
        <charset val="204"/>
      </rPr>
      <t xml:space="preserve">             хоз.товар </t>
    </r>
    <r>
      <rPr>
        <i/>
        <sz val="10"/>
        <rFont val="Times New Roman"/>
        <family val="1"/>
        <charset val="204"/>
      </rPr>
      <t>(мешки для мусора 60л-500 шт., мешки для мусора 30л-200 шт.,бумага туалетная-500 шт.,мыло жидкое-6 шт.,салфетки-450 шт.,стаканы одноразовые-7000 шт., материалы для кружков (ленты)-70м )</t>
    </r>
  </si>
  <si>
    <t xml:space="preserve">2.Утверждение плана закупки товаров, работ, услуг на 2023 год.                                                                                                                          </t>
  </si>
  <si>
    <t xml:space="preserve">1.Утверждение плана финансово-хозяйственной деятельности на 2023 год, в связи с изменением значения показателей объема муниципальной услуги и перераспределением денежных средств.        </t>
  </si>
  <si>
    <t xml:space="preserve">Повестка дня:                                                                                                                                                                          </t>
  </si>
  <si>
    <t>электроэнергия (10500 кВт*7,55)</t>
  </si>
  <si>
    <t xml:space="preserve">от  30.03.2023 года                                                                                                     № 2
</t>
  </si>
  <si>
    <t xml:space="preserve">3.Изменение состава Наблюдательного совета.                                                                                                                       </t>
  </si>
  <si>
    <t>3. По третьему вопросу: директор Муниципального автономного учреждения Детский оздоровительный лагерь "Спутник" предложила изменить состав Наблюдательного совета.</t>
  </si>
  <si>
    <t>Решили:  изменить состав Наблюдательного совета.</t>
  </si>
  <si>
    <t>По данной статье произошло увеличение в связи с увеличением стоимости договорных отношений</t>
  </si>
  <si>
    <t>По данной статье произошло уменьшение в связи с уменьшением стоимости договорных отношений</t>
  </si>
  <si>
    <t xml:space="preserve">По данной статье произошло уменьшение в связи с измененим договорных отношений, уменьшение объема </t>
  </si>
  <si>
    <t>По данной статье произошло уменьшение в связи с измененим договорных отношений, уменьшение объема закупки</t>
  </si>
  <si>
    <t>По данной статье произошло увеличение в связи с необходимостью приобретения</t>
  </si>
  <si>
    <t>По данной статье произошло уменьшение в связи с изменением значения показателей объема муниципальной услуги</t>
  </si>
  <si>
    <t>По данной статье произошло уменьшение в связи с уменьшением доходной части по приносящей доход деятельности</t>
  </si>
  <si>
    <r>
      <t>Строка «Поступления, от доходов всего»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12 265 115,66 руб., в том числе:</t>
    </r>
  </si>
  <si>
    <t>Строка «Выплаты по расходам, всего»  12 265 115,66 руб., в том числе:</t>
  </si>
  <si>
    <t>По данной статье произошло увеличение в связи с необходимостью  расчета арендной платы для объявления торгов и заключения договора</t>
  </si>
  <si>
    <t>По данной статье произошло увеличение в связи с увеличением стоимости договорных отношений и увеличение дето/дней</t>
  </si>
  <si>
    <t>организация питания детей                                              (56 чел.*600,00*21 день*2 смены;                                             56 чел*600,00*10 дней*4 смены)</t>
  </si>
  <si>
    <t>По данной статье произошло уменьшение в связи с недостаточностью денежных средств</t>
  </si>
  <si>
    <t>По данной статье произошло увеличение в связи  с необходимостью проведения долгосрочного ремонта столовой</t>
  </si>
  <si>
    <t>услуги ассенизаторной машины(ЖБО)                                          3 месяца*2800,19</t>
  </si>
  <si>
    <t>По данной статье произошло уменьшение плановых назначений в связи с изменением количества детей</t>
  </si>
  <si>
    <t>По данной статье произошло увеличениеплановых назначений в связи с изменением количества детей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</si>
  <si>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Слесарева Светлана Геннадьевна – представитель общественности
Отсутствует: нет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</si>
  <si>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Бушмарева Татьяна Анатольевна – представитель общественности
Отсутствует: нет
</t>
  </si>
  <si>
    <t>текущий ремонт полов в корпусе № 2 в МАУ ДОЛ "Спутник"</t>
  </si>
  <si>
    <t>текущий ремонт полов в корпусах №3; №2 МАУ ДОЛ «Спутник»</t>
  </si>
  <si>
    <t>Изменение наименование работ</t>
  </si>
  <si>
    <t>эмаль-4 шт*592,31</t>
  </si>
  <si>
    <t>1.Утверждение плана финансово-хозяйственной деятельности на 2023 год, в связи с дополнительным финансированием на выполнение муниципального задания.</t>
  </si>
  <si>
    <r>
      <t>Строка «Поступления, от доходов всего»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12 586 032,66 руб., в том числе:</t>
    </r>
  </si>
  <si>
    <t>Строка «Выплаты по расходам, всего»  12 586 032,66 руб., в том числе:</t>
  </si>
  <si>
    <t>уголь (53 тн*7000,00)</t>
  </si>
  <si>
    <t>электроэнергия (79555 кВт*8,08)</t>
  </si>
  <si>
    <t>техническое обслуживание комплекса технический средств                                                                               (пожарной сиганализации   3месяца*2750=8250,00,                    видеонаблюдения 3месяца*6000=18000,00,                 обслуживание СКУД 3месяца*3000,00=9000,00)</t>
  </si>
  <si>
    <t>По данной статье произошло увеличение в связи с увеличением стоимости  и объема договорных отношений</t>
  </si>
  <si>
    <t>По данной статье произошло увеличение в связи  с требованиями Роспотребнадзора</t>
  </si>
  <si>
    <t xml:space="preserve">от  28.06.2023 года                                                                                                     № 3
</t>
  </si>
  <si>
    <t>обследование сотрудников на антитела короновируса, ротовируса, норовируса (ПРЦ 18 чел*6 смен*400,00=43200,00; рото норовирус 5 чл*6 смен*590,00= 17700,00)</t>
  </si>
  <si>
    <t>По данной статье произошло увеличение согласно расчетов потребления угля</t>
  </si>
  <si>
    <t>По данной статье произошло уменьшение в связи с уменьшение объема  (6 смен)</t>
  </si>
  <si>
    <t>По данной статье произошло уменьшение , т.к. договор был в 2022 году заключен на два года</t>
  </si>
  <si>
    <t>По данной статье произошло увеличие в связи увеличение стоимости</t>
  </si>
  <si>
    <t>услуги прачки (1503,5 кг*40,00)</t>
  </si>
  <si>
    <t>питание детей (21дет/день*600,00)</t>
  </si>
  <si>
    <t>питание детей (10дет/день*600,00)</t>
  </si>
  <si>
    <t>подготовка нормативно-договорной документации</t>
  </si>
  <si>
    <t>экспертиза сметной документации</t>
  </si>
  <si>
    <t>эксперное заключение для открытия лагеря</t>
  </si>
  <si>
    <t>обучение сотрудников по охране труда                                      (4 чел*1900,00)</t>
  </si>
  <si>
    <t>триммер</t>
  </si>
  <si>
    <t>краны в столовую (цеха)-5 шт*2000,00</t>
  </si>
  <si>
    <t>краска водоэмульс. (4 шт.*1600,00)</t>
  </si>
  <si>
    <t>известь (20*45,00)</t>
  </si>
  <si>
    <t>линомеум в мед.пункт ( 22м2*800,00)</t>
  </si>
  <si>
    <t>Строка «Выплаты по расходам, всего»  12 641 452,66 руб., в том числе:</t>
  </si>
  <si>
    <r>
      <t>Строка «Поступления, от доходов всего»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12 641 452,66 руб., в том числе:</t>
    </r>
  </si>
  <si>
    <t xml:space="preserve">от  10.07.2023 года                                                                                                     № 4
</t>
  </si>
  <si>
    <t>По данной статье произошло увеличение в связи с приобретение путевок для детей по полной стоимости</t>
  </si>
  <si>
    <t>По данной статье произошло увеличение в связи с увеличением объема</t>
  </si>
  <si>
    <t>По данной статье произошло уменьшение в связи с уменьшением чел/дней</t>
  </si>
  <si>
    <t>По данной статье произошло уменьшение в связи с уменьшением объема потребления</t>
  </si>
  <si>
    <t>По данной статье произошло увеличение в связи с необходимостью</t>
  </si>
  <si>
    <t>По данной статье произошло увеличение в связи с необходимостью (поломка)</t>
  </si>
  <si>
    <t>По данной статье произошло увеличение в связи с благоустройством лагеря</t>
  </si>
  <si>
    <t>По данной статье произвошло увеличение в связи с замечанием Роспотребнадзора (щели в деревянных  полах)</t>
  </si>
  <si>
    <t>По данной статье произошло уменьшение в связи с тем,что все есть в ниличии</t>
  </si>
  <si>
    <t>По данной статье произошло уменьшение в связи с использовапнием кипяченной воды</t>
  </si>
  <si>
    <t>По данной статье произошло увеличение в связи с увеличением объема и стоимости</t>
  </si>
  <si>
    <t>1.Утверждение внесение изменений в план финансово-хозяйственной деятельности на 2023 год, в связи с дополнительным поступление денежных и перераспределение по предпринимательской деятельности (оплата путевок по полной стоимости на 2 сезона в сумме 34690,00 и платные услуги в сумме 20730,00)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</si>
  <si>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внесение изменений в план финансово-хозяйственной деятельности на 2023 год :
</t>
  </si>
  <si>
    <t>текущий ремонт корпусов № 2 и 3 в МАУ ДОЛ "Спутник" (частичная покраска)</t>
  </si>
  <si>
    <t>ширма</t>
  </si>
  <si>
    <t xml:space="preserve">стол процедурный </t>
  </si>
  <si>
    <t>лампы светодиодные (столовая малый зал-16 шт, комнаты в корпусе № 3 -16 шт.)</t>
  </si>
  <si>
    <r>
      <t>Строка «Поступления, от доходов всего»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12 634 168,66 руб., в том числе:</t>
    </r>
  </si>
  <si>
    <t>Строка «Выплаты по расходам, всего»  12 634 168,66 руб., в том числе:</t>
  </si>
  <si>
    <t>плата за линию (278,40*12 месяцев)</t>
  </si>
  <si>
    <t>услуги ассенизаторной машины(ЖБО)                                          4 раза*2111,36</t>
  </si>
  <si>
    <t xml:space="preserve">от  11.09.2023 года                                                                                                     № 5
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</si>
  <si>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</t>
    </r>
    <r>
      <rPr>
        <i/>
        <u/>
        <sz val="10"/>
        <rFont val="Times New Roman"/>
        <family val="1"/>
        <charset val="204"/>
      </rPr>
      <t xml:space="preserve">  хоз.товар </t>
    </r>
    <r>
      <rPr>
        <i/>
        <sz val="10"/>
        <rFont val="Times New Roman"/>
        <family val="1"/>
        <charset val="204"/>
      </rPr>
      <t xml:space="preserve">(мешки для мусора 60л-500 шт., мешки для мусора 30л-200 шт.,бумага туалетная-500 шт.,мыло жидкое-6 шт.,салфетки-450 шт.,стаканы одноразовые-7000 шт., материалы для кружков (ленты)-70м;                </t>
    </r>
    <r>
      <rPr>
        <i/>
        <u/>
        <sz val="10"/>
        <rFont val="Times New Roman"/>
        <family val="1"/>
        <charset val="204"/>
      </rPr>
      <t xml:space="preserve">канц.товар: </t>
    </r>
    <r>
      <rPr>
        <i/>
        <sz val="10"/>
        <rFont val="Times New Roman"/>
        <family val="1"/>
        <charset val="204"/>
      </rPr>
      <t xml:space="preserve">бумага-18 уп.ручка-1;                            </t>
    </r>
    <r>
      <rPr>
        <i/>
        <u/>
        <sz val="10"/>
        <rFont val="Times New Roman"/>
        <family val="1"/>
        <charset val="204"/>
      </rPr>
      <t/>
    </r>
  </si>
  <si>
    <t>По данной статье произошло увеличение в связи с перераспределением денежных средств</t>
  </si>
  <si>
    <t>По данной статье произошло увеличение в связи с увеличением доходной части</t>
  </si>
  <si>
    <t>По данной статье произошло уменьшение в связи уменьшением потребления</t>
  </si>
  <si>
    <t xml:space="preserve">1.Утверждение внесение изменений в план финансово-хозяйственной деятельности на 2023 год, в связи с уменьшение доходной части по предпринимательской деятельности, за счет уменьшения питания сотрудников и перераспределение денежных средств. </t>
  </si>
  <si>
    <t>По данной статье произошло увеличение в связи с необходимостью, замена люмицентных ламп на светодиодные, рекомендации Роспотребнадзора</t>
  </si>
  <si>
    <t>По данной статье произошло уменьшение в связи с уменьшением потребления объема (погодные условия)</t>
  </si>
  <si>
    <t xml:space="preserve">от  28.09.2023 года                                                                                                     № 6
</t>
  </si>
  <si>
    <t>266. Социальные пособия и компенсации персоналу в денежной форме</t>
  </si>
  <si>
    <t>По данной статьям произошло изменение в связи с оплатой листа нетрудоспособности.</t>
  </si>
  <si>
    <t>реагирование нарядов вневедомственной охраны                  (3 месяца*10181,12)</t>
  </si>
  <si>
    <t>По данной статье произошло уменьшение в связи с восстановлением кассовых расходов</t>
  </si>
  <si>
    <t>По данной статье произошло увеличение в связи с увеличением договорных отношений (увеличение стоимости)</t>
  </si>
  <si>
    <t>абонентская плата (оздоровительного сезона 3 месяца*1002,24)</t>
  </si>
  <si>
    <t>услуги прачки (1457,25 кг*40,00)</t>
  </si>
  <si>
    <t>По данной статье произошло уменьшение в связи с уменьшением договорных отношений (уменьшение стоимости)</t>
  </si>
  <si>
    <t>По данной статье произошло уменьшение в связи с уменьшением договорных отношений (уменьшение объема оказанной услуги)</t>
  </si>
  <si>
    <t>По данной статье произошло увеличение в связи с необходимостью получения лицензии на доп.образования</t>
  </si>
  <si>
    <t>По данной статье произошло уменьшение в связи с уменьшением договорных отношений (уменьшение обследуемых сотрудников)</t>
  </si>
  <si>
    <t>По данной статье произошло уменьшение в связи с уменьшением договорных отношений (уменьшение объема)</t>
  </si>
  <si>
    <t>По данной статье произошло увеличение для восстановления кассовых расходов по оздоровительному сезону</t>
  </si>
  <si>
    <t xml:space="preserve">1.Утверждение внесение изменений в план финансово-хозяйственной деятельности на 2023 год, в связи с уменьшение доходной части по предпринимательской деятельности, за счет уменьшения питания сотрудников и восстановление кассовых расходов. </t>
  </si>
  <si>
    <r>
      <t>Строка «Поступления, от доходов всего»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12 566 215,66 руб., в том числе:</t>
    </r>
  </si>
  <si>
    <t>Строка «Выплаты по расходам, всего»  12 566 215,66 руб., в том числе:</t>
  </si>
  <si>
    <t>По данной статьям произошло уменьшение  в связи с перераспределением денежных средств</t>
  </si>
  <si>
    <t>тумбочки прикроватные (56 шт.)</t>
  </si>
  <si>
    <t>345. Увеличение стоимости мягкого инвентаря</t>
  </si>
  <si>
    <t>одеяло (19 шт.*768,00)</t>
  </si>
  <si>
    <t>наматрасники (18 шт.*770,00)</t>
  </si>
  <si>
    <t xml:space="preserve">1.Утверждение внесение изменений в план финансово-хозяйственной деятельности на 2023 год, в связи с дополнительным финансированием и перераспределение денежных средств. </t>
  </si>
  <si>
    <r>
      <t>Строка «Поступления, от доходов всего»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12  741 261,66 руб., в том числе:</t>
    </r>
  </si>
  <si>
    <t>Строка «Выплаты по расходам, всего»  12  741 261,66 руб., в том числе:</t>
  </si>
  <si>
    <t xml:space="preserve">от  24.11.2023 года                                                                                                     № 7
</t>
  </si>
  <si>
    <t>По данной статье произошло увеличение в связи с дополнительным финансированием (срок эксплуатации 10 лет)</t>
  </si>
  <si>
    <t>По данной статье произошло увеличение в связи с дополнительным финансированием.</t>
  </si>
  <si>
    <t>По данной статье произошло уменьшение в связи с уменьшением стоимости договорных отношений, уменьшение стоимости</t>
  </si>
  <si>
    <t>текущий ремонт помещений медицинского пункта МАУ ДОЛ «Спутник»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</si>
</sst>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i/>
      <u/>
      <sz val="10"/>
      <color theme="1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2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14" fillId="0" borderId="1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2" fontId="2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/>
    <xf numFmtId="0" fontId="22" fillId="0" borderId="0" xfId="0" applyFont="1"/>
    <xf numFmtId="164" fontId="4" fillId="0" borderId="0" xfId="0" applyNumberFormat="1" applyFont="1" applyAlignment="1">
      <alignment horizontal="center"/>
    </xf>
    <xf numFmtId="0" fontId="27" fillId="0" borderId="0" xfId="0" applyFont="1" applyAlignment="1">
      <alignment horizontal="justify" vertical="center"/>
    </xf>
    <xf numFmtId="0" fontId="28" fillId="0" borderId="0" xfId="0" applyFont="1"/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2" fontId="14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23" fillId="0" borderId="2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0" fontId="4" fillId="0" borderId="1" xfId="0" applyFont="1" applyBorder="1"/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14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64" fontId="16" fillId="0" borderId="2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7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7" fillId="0" borderId="1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13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justify" vertical="center" wrapText="1"/>
    </xf>
    <xf numFmtId="2" fontId="11" fillId="0" borderId="3" xfId="0" applyNumberFormat="1" applyFont="1" applyBorder="1" applyAlignment="1">
      <alignment horizontal="justify" vertical="center" wrapText="1"/>
    </xf>
    <xf numFmtId="2" fontId="11" fillId="0" borderId="4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164" fontId="0" fillId="0" borderId="4" xfId="0" applyNumberFormat="1" applyBorder="1" applyAlignment="1">
      <alignment horizontal="center" vertical="center"/>
    </xf>
    <xf numFmtId="0" fontId="28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1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3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0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13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 wrapText="1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0"/>
  <sheetViews>
    <sheetView view="pageBreakPreview" topLeftCell="A11" zoomScaleNormal="100" zoomScaleSheetLayoutView="100" workbookViewId="0">
      <selection activeCell="A26" sqref="A26:J26"/>
    </sheetView>
  </sheetViews>
  <sheetFormatPr defaultRowHeight="15" x14ac:dyDescent="0.25"/>
  <cols>
    <col min="1" max="1" width="15.140625" customWidth="1"/>
    <col min="2" max="2" width="14.28515625" customWidth="1"/>
    <col min="3" max="3" width="15.8554687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114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114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114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 x14ac:dyDescent="0.25">
      <c r="A5" s="114"/>
      <c r="B5" s="70"/>
      <c r="C5" s="70"/>
      <c r="D5" s="70"/>
      <c r="E5" s="70"/>
      <c r="F5" s="70"/>
      <c r="G5" s="70"/>
      <c r="H5" s="70"/>
      <c r="I5" s="70"/>
    </row>
    <row r="6" spans="1:10" x14ac:dyDescent="0.25">
      <c r="A6" s="125" t="s">
        <v>64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ht="15.75" x14ac:dyDescent="0.25">
      <c r="A7" s="114"/>
      <c r="B7" s="70"/>
      <c r="C7" s="70"/>
      <c r="D7" s="70"/>
      <c r="E7" s="70"/>
      <c r="F7" s="70"/>
      <c r="G7" s="70"/>
      <c r="H7" s="70"/>
      <c r="I7" s="70"/>
      <c r="J7" s="70"/>
    </row>
    <row r="8" spans="1:10" ht="46.5" customHeight="1" x14ac:dyDescent="0.25">
      <c r="A8" s="129" t="s">
        <v>3</v>
      </c>
      <c r="B8" s="130"/>
      <c r="C8" s="130"/>
      <c r="D8" s="130"/>
      <c r="E8" s="130"/>
      <c r="F8" s="130"/>
      <c r="G8" s="130"/>
      <c r="H8" s="130"/>
      <c r="I8" s="130"/>
      <c r="J8" s="70"/>
    </row>
    <row r="9" spans="1:10" ht="7.5" customHeight="1" x14ac:dyDescent="0.25">
      <c r="A9" s="114"/>
      <c r="B9" s="70"/>
      <c r="C9" s="70"/>
      <c r="D9" s="70"/>
      <c r="E9" s="70"/>
      <c r="F9" s="70"/>
      <c r="G9" s="70"/>
      <c r="H9" s="70"/>
      <c r="I9" s="70"/>
    </row>
    <row r="10" spans="1:10" ht="134.25" customHeight="1" x14ac:dyDescent="0.25">
      <c r="A10" s="129" t="s">
        <v>29</v>
      </c>
      <c r="B10" s="130"/>
      <c r="C10" s="130"/>
      <c r="D10" s="130"/>
      <c r="E10" s="130"/>
      <c r="F10" s="130"/>
      <c r="G10" s="130"/>
      <c r="H10" s="130"/>
      <c r="I10" s="130"/>
      <c r="J10" s="19"/>
    </row>
    <row r="11" spans="1:10" ht="73.5" customHeight="1" x14ac:dyDescent="0.25">
      <c r="A11" s="126" t="s">
        <v>65</v>
      </c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ht="15.75" x14ac:dyDescent="0.25">
      <c r="A12" s="131" t="s">
        <v>30</v>
      </c>
      <c r="B12" s="132"/>
      <c r="C12" s="132"/>
      <c r="D12" s="132"/>
      <c r="E12" s="132"/>
      <c r="F12" s="132"/>
      <c r="G12" s="132"/>
      <c r="H12" s="132"/>
      <c r="I12" s="132"/>
      <c r="J12" s="132"/>
    </row>
    <row r="13" spans="1:10" ht="63" customHeight="1" x14ac:dyDescent="0.25">
      <c r="A13" s="146" t="s">
        <v>113</v>
      </c>
      <c r="B13" s="147"/>
      <c r="C13" s="147"/>
      <c r="D13" s="147"/>
      <c r="E13" s="147"/>
      <c r="F13" s="147"/>
      <c r="G13" s="147"/>
      <c r="H13" s="147"/>
      <c r="I13" s="147"/>
      <c r="J13" s="148"/>
    </row>
    <row r="14" spans="1:10" ht="18.75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3"/>
    </row>
    <row r="15" spans="1:10" ht="15.75" x14ac:dyDescent="0.25">
      <c r="A15" s="114" t="s">
        <v>4</v>
      </c>
      <c r="B15" s="70"/>
      <c r="C15" s="70"/>
      <c r="D15" s="70"/>
      <c r="E15" s="70"/>
      <c r="F15" s="70"/>
      <c r="G15" s="70"/>
      <c r="H15" s="70"/>
      <c r="I15" s="70"/>
      <c r="J15" s="70"/>
    </row>
    <row r="16" spans="1:10" ht="15.75" x14ac:dyDescent="0.25">
      <c r="A16" s="115" t="s">
        <v>66</v>
      </c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1" ht="15.75" x14ac:dyDescent="0.25">
      <c r="A17" s="2"/>
    </row>
    <row r="18" spans="1:11" ht="15.75" x14ac:dyDescent="0.25">
      <c r="A18" s="117"/>
      <c r="B18" s="118"/>
      <c r="C18" s="118"/>
      <c r="D18" s="71" t="s">
        <v>21</v>
      </c>
      <c r="E18" s="71"/>
      <c r="F18" s="71" t="s">
        <v>6</v>
      </c>
      <c r="G18" s="71"/>
      <c r="H18" s="117" t="s">
        <v>14</v>
      </c>
      <c r="I18" s="71"/>
      <c r="J18" s="71"/>
    </row>
    <row r="19" spans="1:11" ht="30" customHeight="1" x14ac:dyDescent="0.25">
      <c r="A19" s="137" t="s">
        <v>7</v>
      </c>
      <c r="B19" s="138"/>
      <c r="C19" s="138"/>
      <c r="D19" s="139">
        <f>5523370+1053360+3363360</f>
        <v>9940090</v>
      </c>
      <c r="E19" s="139"/>
      <c r="F19" s="139">
        <v>0</v>
      </c>
      <c r="G19" s="139"/>
      <c r="H19" s="140"/>
      <c r="I19" s="141"/>
      <c r="J19" s="141"/>
    </row>
    <row r="20" spans="1:11" x14ac:dyDescent="0.25">
      <c r="A20" s="137" t="s">
        <v>8</v>
      </c>
      <c r="B20" s="138"/>
      <c r="C20" s="138"/>
      <c r="D20" s="139">
        <f>308006.4+537000+495723.6</f>
        <v>1340730</v>
      </c>
      <c r="E20" s="139"/>
      <c r="F20" s="139">
        <v>0</v>
      </c>
      <c r="G20" s="139"/>
      <c r="H20" s="141"/>
      <c r="I20" s="141"/>
      <c r="J20" s="141"/>
    </row>
    <row r="21" spans="1:11" ht="15.75" x14ac:dyDescent="0.25">
      <c r="A21" s="137" t="s">
        <v>9</v>
      </c>
      <c r="B21" s="138"/>
      <c r="C21" s="138"/>
      <c r="D21" s="139">
        <v>0</v>
      </c>
      <c r="E21" s="139"/>
      <c r="F21" s="139">
        <f>D21+H21</f>
        <v>0</v>
      </c>
      <c r="G21" s="139"/>
      <c r="H21" s="140"/>
      <c r="I21" s="141"/>
      <c r="J21" s="141"/>
    </row>
    <row r="22" spans="1:11" ht="30" customHeight="1" x14ac:dyDescent="0.25">
      <c r="A22" s="142" t="s">
        <v>10</v>
      </c>
      <c r="B22" s="143"/>
      <c r="C22" s="144"/>
      <c r="D22" s="139">
        <v>990205</v>
      </c>
      <c r="E22" s="139"/>
      <c r="F22" s="139">
        <v>0</v>
      </c>
      <c r="G22" s="139"/>
      <c r="H22" s="140"/>
      <c r="I22" s="141"/>
      <c r="J22" s="141"/>
    </row>
    <row r="23" spans="1:11" ht="15.75" x14ac:dyDescent="0.25">
      <c r="A23" s="117" t="s">
        <v>11</v>
      </c>
      <c r="B23" s="145"/>
      <c r="C23" s="145"/>
      <c r="D23" s="133">
        <f>D19+D20+D21+D22</f>
        <v>12271025</v>
      </c>
      <c r="E23" s="133"/>
      <c r="F23" s="133">
        <v>0</v>
      </c>
      <c r="G23" s="133"/>
      <c r="H23" s="134">
        <f>H19+H20+H21+H22</f>
        <v>0</v>
      </c>
      <c r="I23" s="135"/>
      <c r="J23" s="135"/>
    </row>
    <row r="24" spans="1:11" ht="15.75" x14ac:dyDescent="0.25">
      <c r="A24" s="16"/>
      <c r="B24" s="17"/>
      <c r="C24" s="17"/>
      <c r="D24" s="31"/>
      <c r="E24" s="31"/>
      <c r="F24" s="31"/>
      <c r="G24" s="31"/>
      <c r="H24" s="18"/>
      <c r="I24" s="9"/>
      <c r="J24" s="9"/>
    </row>
    <row r="25" spans="1:11" ht="15.75" x14ac:dyDescent="0.25">
      <c r="A25" s="16"/>
      <c r="B25" s="17"/>
      <c r="C25" s="17"/>
      <c r="D25" s="31"/>
      <c r="E25" s="31"/>
      <c r="F25" s="31"/>
      <c r="G25" s="31"/>
      <c r="H25" s="18"/>
      <c r="I25" s="9"/>
      <c r="J25" s="9"/>
    </row>
    <row r="26" spans="1:11" ht="15.75" x14ac:dyDescent="0.25">
      <c r="A26" s="115" t="s">
        <v>67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8" spans="1:11" x14ac:dyDescent="0.25">
      <c r="A28" s="136" t="s">
        <v>12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1" ht="10.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1" s="3" customFormat="1" x14ac:dyDescent="0.25">
      <c r="A30" s="50"/>
      <c r="B30" s="50"/>
      <c r="C30" s="50"/>
      <c r="D30" s="71" t="s">
        <v>21</v>
      </c>
      <c r="E30" s="71"/>
      <c r="F30" s="71" t="s">
        <v>6</v>
      </c>
      <c r="G30" s="71"/>
      <c r="H30" s="24" t="s">
        <v>14</v>
      </c>
      <c r="I30" s="72" t="s">
        <v>13</v>
      </c>
      <c r="J30" s="73"/>
      <c r="K30" s="74"/>
    </row>
    <row r="31" spans="1:11" s="3" customFormat="1" ht="31.5" customHeight="1" x14ac:dyDescent="0.25">
      <c r="A31" s="121" t="s">
        <v>15</v>
      </c>
      <c r="B31" s="121"/>
      <c r="C31" s="121"/>
      <c r="D31" s="54">
        <f>2876553.58+809032.25+575833.86</f>
        <v>4261419.6900000004</v>
      </c>
      <c r="E31" s="55"/>
      <c r="F31" s="54">
        <f t="shared" ref="F31:F37" si="0">D31+H31</f>
        <v>4261419.6900000004</v>
      </c>
      <c r="G31" s="55"/>
      <c r="H31" s="13"/>
      <c r="I31" s="122"/>
      <c r="J31" s="123"/>
      <c r="K31" s="124"/>
    </row>
    <row r="32" spans="1:11" s="3" customFormat="1" ht="33.75" customHeight="1" x14ac:dyDescent="0.25">
      <c r="A32" s="51" t="s">
        <v>16</v>
      </c>
      <c r="B32" s="52"/>
      <c r="C32" s="53"/>
      <c r="D32" s="119">
        <f>868719.18+244327.75+173901.83</f>
        <v>1286948.7600000002</v>
      </c>
      <c r="E32" s="120"/>
      <c r="F32" s="54">
        <f t="shared" si="0"/>
        <v>1286948.7600000002</v>
      </c>
      <c r="G32" s="55"/>
      <c r="H32" s="13"/>
      <c r="I32" s="90"/>
      <c r="J32" s="91"/>
      <c r="K32" s="92"/>
    </row>
    <row r="33" spans="1:11" s="3" customFormat="1" ht="16.5" customHeight="1" x14ac:dyDescent="0.25">
      <c r="A33" s="121" t="s">
        <v>18</v>
      </c>
      <c r="B33" s="121"/>
      <c r="C33" s="121"/>
      <c r="D33" s="54">
        <f>SUM(D34:E37)</f>
        <v>18824.400000000001</v>
      </c>
      <c r="E33" s="55"/>
      <c r="F33" s="54">
        <f t="shared" si="0"/>
        <v>18824.400000000001</v>
      </c>
      <c r="G33" s="55"/>
      <c r="H33" s="26">
        <f>SUM(H34:H37)</f>
        <v>0</v>
      </c>
      <c r="I33" s="151"/>
      <c r="J33" s="151"/>
      <c r="K33" s="151"/>
    </row>
    <row r="34" spans="1:11" s="3" customFormat="1" ht="16.5" customHeight="1" x14ac:dyDescent="0.25">
      <c r="A34" s="154" t="s">
        <v>41</v>
      </c>
      <c r="B34" s="155"/>
      <c r="C34" s="96"/>
      <c r="D34" s="95">
        <v>14400</v>
      </c>
      <c r="E34" s="112"/>
      <c r="F34" s="95">
        <f t="shared" si="0"/>
        <v>14400</v>
      </c>
      <c r="G34" s="113"/>
      <c r="H34" s="10"/>
      <c r="I34" s="90"/>
      <c r="J34" s="91"/>
      <c r="K34" s="92"/>
    </row>
    <row r="35" spans="1:11" s="3" customFormat="1" ht="16.5" customHeight="1" x14ac:dyDescent="0.25">
      <c r="A35" s="154" t="s">
        <v>69</v>
      </c>
      <c r="B35" s="155"/>
      <c r="C35" s="96"/>
      <c r="D35" s="95">
        <v>2647.2</v>
      </c>
      <c r="E35" s="112"/>
      <c r="F35" s="95">
        <f t="shared" si="0"/>
        <v>2647.2</v>
      </c>
      <c r="G35" s="113"/>
      <c r="H35" s="14"/>
      <c r="I35" s="151"/>
      <c r="J35" s="151"/>
      <c r="K35" s="151"/>
    </row>
    <row r="36" spans="1:11" s="3" customFormat="1" ht="16.5" customHeight="1" x14ac:dyDescent="0.25">
      <c r="A36" s="84" t="s">
        <v>68</v>
      </c>
      <c r="B36" s="152"/>
      <c r="C36" s="153"/>
      <c r="D36" s="95">
        <v>277.2</v>
      </c>
      <c r="E36" s="112"/>
      <c r="F36" s="95">
        <f t="shared" ref="F36" si="1">D36+H36</f>
        <v>277.2</v>
      </c>
      <c r="G36" s="113"/>
      <c r="H36" s="10"/>
      <c r="I36" s="90"/>
      <c r="J36" s="91"/>
      <c r="K36" s="92"/>
    </row>
    <row r="37" spans="1:11" s="3" customFormat="1" ht="20.25" customHeight="1" x14ac:dyDescent="0.25">
      <c r="A37" s="84" t="s">
        <v>70</v>
      </c>
      <c r="B37" s="152"/>
      <c r="C37" s="153"/>
      <c r="D37" s="95">
        <v>1500</v>
      </c>
      <c r="E37" s="112"/>
      <c r="F37" s="95">
        <f t="shared" si="0"/>
        <v>1500</v>
      </c>
      <c r="G37" s="113"/>
      <c r="H37" s="10"/>
      <c r="I37" s="90"/>
      <c r="J37" s="91"/>
      <c r="K37" s="92"/>
    </row>
    <row r="38" spans="1:11" s="3" customFormat="1" ht="16.5" customHeight="1" x14ac:dyDescent="0.25">
      <c r="A38" s="51" t="s">
        <v>17</v>
      </c>
      <c r="B38" s="52"/>
      <c r="C38" s="53"/>
      <c r="D38" s="149">
        <f>SUM(D39:E41)</f>
        <v>595215.16999999993</v>
      </c>
      <c r="E38" s="150"/>
      <c r="F38" s="149">
        <f>H38+D38</f>
        <v>595215.16999999993</v>
      </c>
      <c r="G38" s="150"/>
      <c r="H38" s="26">
        <f>SUM(H39:H41)</f>
        <v>0</v>
      </c>
      <c r="I38" s="151"/>
      <c r="J38" s="151"/>
      <c r="K38" s="151"/>
    </row>
    <row r="39" spans="1:11" s="3" customFormat="1" ht="16.5" customHeight="1" x14ac:dyDescent="0.25">
      <c r="A39" s="84" t="s">
        <v>73</v>
      </c>
      <c r="B39" s="85"/>
      <c r="C39" s="86"/>
      <c r="D39" s="95">
        <f>75000*7.55</f>
        <v>566250</v>
      </c>
      <c r="E39" s="112"/>
      <c r="F39" s="95">
        <f>H39+D39</f>
        <v>566250</v>
      </c>
      <c r="G39" s="113"/>
      <c r="H39" s="27"/>
      <c r="I39" s="97"/>
      <c r="J39" s="98"/>
      <c r="K39" s="99"/>
    </row>
    <row r="40" spans="1:11" s="3" customFormat="1" ht="24" customHeight="1" x14ac:dyDescent="0.25">
      <c r="A40" s="84" t="s">
        <v>71</v>
      </c>
      <c r="B40" s="85"/>
      <c r="C40" s="86"/>
      <c r="D40" s="95">
        <f>3*2800.19</f>
        <v>8400.57</v>
      </c>
      <c r="E40" s="112"/>
      <c r="F40" s="95">
        <f>H40+D40</f>
        <v>8400.57</v>
      </c>
      <c r="G40" s="113"/>
      <c r="H40" s="10"/>
      <c r="I40" s="90"/>
      <c r="J40" s="91"/>
      <c r="K40" s="92"/>
    </row>
    <row r="41" spans="1:11" s="3" customFormat="1" ht="25.5" customHeight="1" x14ac:dyDescent="0.25">
      <c r="A41" s="84" t="s">
        <v>72</v>
      </c>
      <c r="B41" s="85"/>
      <c r="C41" s="86"/>
      <c r="D41" s="95">
        <f>70*293.78</f>
        <v>20564.599999999999</v>
      </c>
      <c r="E41" s="112"/>
      <c r="F41" s="95">
        <f>H41+D41</f>
        <v>20564.599999999999</v>
      </c>
      <c r="G41" s="113"/>
      <c r="H41" s="11"/>
      <c r="I41" s="90"/>
      <c r="J41" s="91"/>
      <c r="K41" s="92"/>
    </row>
    <row r="42" spans="1:11" s="3" customFormat="1" ht="35.25" customHeight="1" x14ac:dyDescent="0.25">
      <c r="A42" s="51" t="s">
        <v>19</v>
      </c>
      <c r="B42" s="52"/>
      <c r="C42" s="53"/>
      <c r="D42" s="149">
        <f>SUM(D43:E53)</f>
        <v>387612.25</v>
      </c>
      <c r="E42" s="150"/>
      <c r="F42" s="149">
        <f>D42+H42</f>
        <v>387612.25</v>
      </c>
      <c r="G42" s="150"/>
      <c r="H42" s="26">
        <f>SUM(H44:H53)</f>
        <v>0</v>
      </c>
      <c r="I42" s="122"/>
      <c r="J42" s="123"/>
      <c r="K42" s="124"/>
    </row>
    <row r="43" spans="1:11" s="3" customFormat="1" ht="65.25" customHeight="1" x14ac:dyDescent="0.25">
      <c r="A43" s="84" t="s">
        <v>74</v>
      </c>
      <c r="B43" s="85"/>
      <c r="C43" s="86"/>
      <c r="D43" s="59">
        <f>20000+3*10000+15000</f>
        <v>65000</v>
      </c>
      <c r="E43" s="60"/>
      <c r="F43" s="95">
        <f t="shared" ref="F43" si="2">D43+H43</f>
        <v>65000</v>
      </c>
      <c r="G43" s="113"/>
      <c r="H43" s="4"/>
      <c r="I43" s="90"/>
      <c r="J43" s="91"/>
      <c r="K43" s="92"/>
    </row>
    <row r="44" spans="1:11" s="3" customFormat="1" ht="72" customHeight="1" x14ac:dyDescent="0.25">
      <c r="A44" s="84" t="s">
        <v>75</v>
      </c>
      <c r="B44" s="85"/>
      <c r="C44" s="86"/>
      <c r="D44" s="59">
        <f>8250+6000+3000</f>
        <v>17250</v>
      </c>
      <c r="E44" s="60"/>
      <c r="F44" s="95">
        <f t="shared" ref="F44:F53" si="3">D44+H44</f>
        <v>17250</v>
      </c>
      <c r="G44" s="113"/>
      <c r="H44" s="4"/>
      <c r="I44" s="90"/>
      <c r="J44" s="91"/>
      <c r="K44" s="92"/>
    </row>
    <row r="45" spans="1:11" s="3" customFormat="1" ht="28.5" customHeight="1" x14ac:dyDescent="0.25">
      <c r="A45" s="84" t="s">
        <v>22</v>
      </c>
      <c r="B45" s="85"/>
      <c r="C45" s="86"/>
      <c r="D45" s="59">
        <v>6000</v>
      </c>
      <c r="E45" s="60"/>
      <c r="F45" s="95">
        <f t="shared" si="3"/>
        <v>6000</v>
      </c>
      <c r="G45" s="113"/>
      <c r="H45" s="4"/>
      <c r="I45" s="90"/>
      <c r="J45" s="91"/>
      <c r="K45" s="92"/>
    </row>
    <row r="46" spans="1:11" s="3" customFormat="1" ht="60.75" customHeight="1" x14ac:dyDescent="0.25">
      <c r="A46" s="84" t="s">
        <v>36</v>
      </c>
      <c r="B46" s="85"/>
      <c r="C46" s="86"/>
      <c r="D46" s="59">
        <f>62042.4+120339.85</f>
        <v>182382.25</v>
      </c>
      <c r="E46" s="60"/>
      <c r="F46" s="95">
        <f t="shared" si="3"/>
        <v>182382.25</v>
      </c>
      <c r="G46" s="113"/>
      <c r="H46" s="12"/>
      <c r="I46" s="156"/>
      <c r="J46" s="157"/>
      <c r="K46" s="158"/>
    </row>
    <row r="47" spans="1:11" s="3" customFormat="1" ht="16.5" customHeight="1" x14ac:dyDescent="0.25">
      <c r="A47" s="84" t="s">
        <v>37</v>
      </c>
      <c r="B47" s="85"/>
      <c r="C47" s="86"/>
      <c r="D47" s="59">
        <f>1670*42</f>
        <v>70140</v>
      </c>
      <c r="E47" s="60"/>
      <c r="F47" s="95">
        <f t="shared" si="3"/>
        <v>70140</v>
      </c>
      <c r="G47" s="113"/>
      <c r="H47" s="10"/>
      <c r="I47" s="90"/>
      <c r="J47" s="91"/>
      <c r="K47" s="92"/>
    </row>
    <row r="48" spans="1:11" s="3" customFormat="1" ht="16.5" customHeight="1" x14ac:dyDescent="0.25">
      <c r="A48" s="84" t="s">
        <v>102</v>
      </c>
      <c r="B48" s="85"/>
      <c r="C48" s="86"/>
      <c r="D48" s="59">
        <v>13440</v>
      </c>
      <c r="E48" s="60"/>
      <c r="F48" s="95">
        <f t="shared" ref="F48" si="4">D48+H48</f>
        <v>13440</v>
      </c>
      <c r="G48" s="113"/>
      <c r="H48" s="10"/>
      <c r="I48" s="90"/>
      <c r="J48" s="91"/>
      <c r="K48" s="92"/>
    </row>
    <row r="49" spans="1:11" s="3" customFormat="1" ht="37.5" customHeight="1" x14ac:dyDescent="0.25">
      <c r="A49" s="84" t="s">
        <v>51</v>
      </c>
      <c r="B49" s="85"/>
      <c r="C49" s="86"/>
      <c r="D49" s="59">
        <v>9000</v>
      </c>
      <c r="E49" s="60"/>
      <c r="F49" s="95">
        <f t="shared" ref="F49" si="5">D49+H49</f>
        <v>9000</v>
      </c>
      <c r="G49" s="113"/>
      <c r="H49" s="4"/>
      <c r="I49" s="122"/>
      <c r="J49" s="123"/>
      <c r="K49" s="124"/>
    </row>
    <row r="50" spans="1:11" s="3" customFormat="1" ht="16.5" customHeight="1" x14ac:dyDescent="0.25">
      <c r="A50" s="84" t="s">
        <v>23</v>
      </c>
      <c r="B50" s="85"/>
      <c r="C50" s="86"/>
      <c r="D50" s="59">
        <v>10000</v>
      </c>
      <c r="E50" s="60"/>
      <c r="F50" s="95">
        <f t="shared" si="3"/>
        <v>10000</v>
      </c>
      <c r="G50" s="113"/>
      <c r="H50" s="4"/>
      <c r="I50" s="122"/>
      <c r="J50" s="123"/>
      <c r="K50" s="124"/>
    </row>
    <row r="51" spans="1:11" s="3" customFormat="1" ht="16.5" customHeight="1" x14ac:dyDescent="0.25">
      <c r="A51" s="84" t="s">
        <v>61</v>
      </c>
      <c r="B51" s="85"/>
      <c r="C51" s="86"/>
      <c r="D51" s="59">
        <v>5000</v>
      </c>
      <c r="E51" s="60"/>
      <c r="F51" s="95">
        <f t="shared" ref="F51:F52" si="6">D51+H51</f>
        <v>5000</v>
      </c>
      <c r="G51" s="113"/>
      <c r="H51" s="4"/>
      <c r="I51" s="122"/>
      <c r="J51" s="123"/>
      <c r="K51" s="124"/>
    </row>
    <row r="52" spans="1:11" s="3" customFormat="1" ht="24.75" customHeight="1" x14ac:dyDescent="0.25">
      <c r="A52" s="84" t="s">
        <v>32</v>
      </c>
      <c r="B52" s="159"/>
      <c r="C52" s="160"/>
      <c r="D52" s="59">
        <v>2400</v>
      </c>
      <c r="E52" s="161"/>
      <c r="F52" s="95">
        <f t="shared" si="6"/>
        <v>2400</v>
      </c>
      <c r="G52" s="113"/>
      <c r="H52" s="4"/>
      <c r="I52" s="122"/>
      <c r="J52" s="123"/>
      <c r="K52" s="124"/>
    </row>
    <row r="53" spans="1:11" s="3" customFormat="1" ht="24.75" customHeight="1" x14ac:dyDescent="0.25">
      <c r="A53" s="84" t="s">
        <v>76</v>
      </c>
      <c r="B53" s="159"/>
      <c r="C53" s="160"/>
      <c r="D53" s="59">
        <f>14*500</f>
        <v>7000</v>
      </c>
      <c r="E53" s="161"/>
      <c r="F53" s="95">
        <f t="shared" si="3"/>
        <v>7000</v>
      </c>
      <c r="G53" s="113"/>
      <c r="H53" s="4"/>
      <c r="I53" s="122"/>
      <c r="J53" s="123"/>
      <c r="K53" s="124"/>
    </row>
    <row r="54" spans="1:11" s="3" customFormat="1" ht="16.5" customHeight="1" x14ac:dyDescent="0.25">
      <c r="A54" s="51" t="s">
        <v>20</v>
      </c>
      <c r="B54" s="52"/>
      <c r="C54" s="53"/>
      <c r="D54" s="149">
        <f>SUM(D55:E66)</f>
        <v>3025399.12</v>
      </c>
      <c r="E54" s="150"/>
      <c r="F54" s="149">
        <f>SUM(F55:G66)</f>
        <v>3025399.12</v>
      </c>
      <c r="G54" s="150"/>
      <c r="H54" s="26">
        <f>SUM(H55:H66)</f>
        <v>0</v>
      </c>
      <c r="I54" s="151"/>
      <c r="J54" s="151"/>
      <c r="K54" s="151"/>
    </row>
    <row r="55" spans="1:11" s="3" customFormat="1" ht="27.75" customHeight="1" x14ac:dyDescent="0.25">
      <c r="A55" s="84" t="s">
        <v>52</v>
      </c>
      <c r="B55" s="85"/>
      <c r="C55" s="86"/>
      <c r="D55" s="87">
        <v>7027.2</v>
      </c>
      <c r="E55" s="88"/>
      <c r="F55" s="87">
        <f t="shared" ref="F55:F68" si="7">D55+H55</f>
        <v>7027.2</v>
      </c>
      <c r="G55" s="89"/>
      <c r="H55" s="5"/>
      <c r="I55" s="90"/>
      <c r="J55" s="91"/>
      <c r="K55" s="92"/>
    </row>
    <row r="56" spans="1:11" s="3" customFormat="1" ht="15.75" customHeight="1" x14ac:dyDescent="0.25">
      <c r="A56" s="84" t="s">
        <v>33</v>
      </c>
      <c r="B56" s="85"/>
      <c r="C56" s="86"/>
      <c r="D56" s="87">
        <v>20685.599999999999</v>
      </c>
      <c r="E56" s="88"/>
      <c r="F56" s="87">
        <f t="shared" si="7"/>
        <v>20685.599999999999</v>
      </c>
      <c r="G56" s="89"/>
      <c r="H56" s="20"/>
      <c r="I56" s="162"/>
      <c r="J56" s="163"/>
      <c r="K56" s="164"/>
    </row>
    <row r="57" spans="1:11" s="3" customFormat="1" ht="63" customHeight="1" x14ac:dyDescent="0.25">
      <c r="A57" s="84" t="s">
        <v>47</v>
      </c>
      <c r="B57" s="85"/>
      <c r="C57" s="86"/>
      <c r="D57" s="87">
        <v>50000</v>
      </c>
      <c r="E57" s="88"/>
      <c r="F57" s="87">
        <f t="shared" si="7"/>
        <v>50000</v>
      </c>
      <c r="G57" s="89"/>
      <c r="H57" s="6"/>
      <c r="I57" s="97"/>
      <c r="J57" s="98"/>
      <c r="K57" s="99"/>
    </row>
    <row r="58" spans="1:11" s="3" customFormat="1" ht="29.25" customHeight="1" x14ac:dyDescent="0.25">
      <c r="A58" s="84" t="s">
        <v>77</v>
      </c>
      <c r="B58" s="85"/>
      <c r="C58" s="86"/>
      <c r="D58" s="87">
        <f>3*10429.44</f>
        <v>31288.32</v>
      </c>
      <c r="E58" s="88"/>
      <c r="F58" s="87">
        <f t="shared" si="7"/>
        <v>31288.32</v>
      </c>
      <c r="G58" s="89"/>
      <c r="H58" s="5"/>
      <c r="I58" s="90"/>
      <c r="J58" s="91"/>
      <c r="K58" s="92"/>
    </row>
    <row r="59" spans="1:11" s="3" customFormat="1" ht="16.5" customHeight="1" x14ac:dyDescent="0.25">
      <c r="A59" s="84" t="s">
        <v>48</v>
      </c>
      <c r="B59" s="85"/>
      <c r="C59" s="86"/>
      <c r="D59" s="87">
        <v>300000</v>
      </c>
      <c r="E59" s="88"/>
      <c r="F59" s="87">
        <f t="shared" ref="F59:F61" si="8">D59+H59</f>
        <v>300000</v>
      </c>
      <c r="G59" s="89"/>
      <c r="H59" s="20"/>
      <c r="I59" s="90"/>
      <c r="J59" s="91"/>
      <c r="K59" s="92"/>
    </row>
    <row r="60" spans="1:11" s="3" customFormat="1" ht="16.5" customHeight="1" x14ac:dyDescent="0.25">
      <c r="A60" s="84" t="s">
        <v>53</v>
      </c>
      <c r="B60" s="85"/>
      <c r="C60" s="86"/>
      <c r="D60" s="87">
        <v>8600</v>
      </c>
      <c r="E60" s="88"/>
      <c r="F60" s="87">
        <f t="shared" si="8"/>
        <v>8600</v>
      </c>
      <c r="G60" s="89"/>
      <c r="H60" s="20"/>
      <c r="I60" s="90"/>
      <c r="J60" s="91"/>
      <c r="K60" s="92"/>
    </row>
    <row r="61" spans="1:11" s="3" customFormat="1" ht="16.5" customHeight="1" x14ac:dyDescent="0.25">
      <c r="A61" s="84" t="s">
        <v>62</v>
      </c>
      <c r="B61" s="85"/>
      <c r="C61" s="86"/>
      <c r="D61" s="87">
        <v>22900</v>
      </c>
      <c r="E61" s="88"/>
      <c r="F61" s="87">
        <f t="shared" si="8"/>
        <v>22900</v>
      </c>
      <c r="G61" s="89"/>
      <c r="H61" s="20"/>
      <c r="I61" s="90"/>
      <c r="J61" s="91"/>
      <c r="K61" s="92"/>
    </row>
    <row r="62" spans="1:11" s="3" customFormat="1" ht="16.5" customHeight="1" x14ac:dyDescent="0.25">
      <c r="A62" s="84" t="s">
        <v>54</v>
      </c>
      <c r="B62" s="85"/>
      <c r="C62" s="86"/>
      <c r="D62" s="87">
        <v>45740</v>
      </c>
      <c r="E62" s="88"/>
      <c r="F62" s="87">
        <f t="shared" ref="F62:F64" si="9">D62+H62</f>
        <v>45740</v>
      </c>
      <c r="G62" s="89"/>
      <c r="H62" s="20"/>
      <c r="I62" s="90"/>
      <c r="J62" s="91"/>
      <c r="K62" s="92"/>
    </row>
    <row r="63" spans="1:11" s="3" customFormat="1" ht="16.5" customHeight="1" x14ac:dyDescent="0.25">
      <c r="A63" s="84" t="s">
        <v>78</v>
      </c>
      <c r="B63" s="85"/>
      <c r="C63" s="86"/>
      <c r="D63" s="87">
        <v>17458</v>
      </c>
      <c r="E63" s="88"/>
      <c r="F63" s="87">
        <f t="shared" ref="F63" si="10">D63+H63</f>
        <v>17458</v>
      </c>
      <c r="G63" s="89"/>
      <c r="H63" s="20"/>
      <c r="I63" s="90"/>
      <c r="J63" s="91"/>
      <c r="K63" s="92"/>
    </row>
    <row r="64" spans="1:11" s="3" customFormat="1" ht="25.5" customHeight="1" x14ac:dyDescent="0.25">
      <c r="A64" s="84" t="s">
        <v>55</v>
      </c>
      <c r="B64" s="85"/>
      <c r="C64" s="86"/>
      <c r="D64" s="87">
        <v>25000</v>
      </c>
      <c r="E64" s="88"/>
      <c r="F64" s="87">
        <f t="shared" si="9"/>
        <v>25000</v>
      </c>
      <c r="G64" s="89"/>
      <c r="H64" s="20"/>
      <c r="I64" s="90"/>
      <c r="J64" s="91"/>
      <c r="K64" s="92"/>
    </row>
    <row r="65" spans="1:11" s="3" customFormat="1" ht="16.5" customHeight="1" x14ac:dyDescent="0.25">
      <c r="A65" s="84" t="s">
        <v>56</v>
      </c>
      <c r="B65" s="85"/>
      <c r="C65" s="86"/>
      <c r="D65" s="87">
        <v>21500</v>
      </c>
      <c r="E65" s="88"/>
      <c r="F65" s="87">
        <f t="shared" ref="F65" si="11">D65+H65</f>
        <v>21500</v>
      </c>
      <c r="G65" s="89"/>
      <c r="H65" s="20"/>
      <c r="I65" s="90"/>
      <c r="J65" s="91"/>
      <c r="K65" s="92"/>
    </row>
    <row r="66" spans="1:11" s="3" customFormat="1" ht="51.75" customHeight="1" x14ac:dyDescent="0.25">
      <c r="A66" s="84" t="s">
        <v>79</v>
      </c>
      <c r="B66" s="85"/>
      <c r="C66" s="86"/>
      <c r="D66" s="87">
        <f>56*520*21+56*520*10*5+56*520*7*2</f>
        <v>2475200</v>
      </c>
      <c r="E66" s="88"/>
      <c r="F66" s="87">
        <f t="shared" si="7"/>
        <v>2475200</v>
      </c>
      <c r="G66" s="89"/>
      <c r="H66" s="5"/>
      <c r="I66" s="90"/>
      <c r="J66" s="91"/>
      <c r="K66" s="92"/>
    </row>
    <row r="67" spans="1:11" ht="16.5" customHeight="1" x14ac:dyDescent="0.25">
      <c r="A67" s="51" t="s">
        <v>31</v>
      </c>
      <c r="B67" s="52"/>
      <c r="C67" s="53"/>
      <c r="D67" s="54">
        <f>D68</f>
        <v>6720</v>
      </c>
      <c r="E67" s="55"/>
      <c r="F67" s="54">
        <f t="shared" si="7"/>
        <v>6720</v>
      </c>
      <c r="G67" s="55"/>
      <c r="H67" s="26">
        <f>SUM(H68:H68)</f>
        <v>0</v>
      </c>
      <c r="I67" s="50"/>
      <c r="J67" s="50"/>
      <c r="K67" s="50"/>
    </row>
    <row r="68" spans="1:11" s="3" customFormat="1" ht="16.5" customHeight="1" x14ac:dyDescent="0.25">
      <c r="A68" s="84" t="s">
        <v>80</v>
      </c>
      <c r="B68" s="85"/>
      <c r="C68" s="86"/>
      <c r="D68" s="95">
        <f>448*15</f>
        <v>6720</v>
      </c>
      <c r="E68" s="112"/>
      <c r="F68" s="95">
        <f t="shared" si="7"/>
        <v>6720</v>
      </c>
      <c r="G68" s="96"/>
      <c r="H68" s="7"/>
      <c r="I68" s="97"/>
      <c r="J68" s="98"/>
      <c r="K68" s="99"/>
    </row>
    <row r="69" spans="1:11" ht="45.75" customHeight="1" x14ac:dyDescent="0.25">
      <c r="A69" s="172" t="s">
        <v>34</v>
      </c>
      <c r="B69" s="179"/>
      <c r="C69" s="180"/>
      <c r="D69" s="100">
        <v>4635</v>
      </c>
      <c r="E69" s="181"/>
      <c r="F69" s="100">
        <f t="shared" ref="F69" si="12">D69+H69</f>
        <v>4635</v>
      </c>
      <c r="G69" s="101"/>
      <c r="H69" s="13"/>
      <c r="I69" s="90"/>
      <c r="J69" s="91"/>
      <c r="K69" s="92"/>
    </row>
    <row r="70" spans="1:11" ht="32.25" customHeight="1" x14ac:dyDescent="0.25">
      <c r="A70" s="172" t="s">
        <v>39</v>
      </c>
      <c r="B70" s="173"/>
      <c r="C70" s="174"/>
      <c r="D70" s="100">
        <f>SUM(D71:E73)</f>
        <v>197620</v>
      </c>
      <c r="E70" s="175"/>
      <c r="F70" s="100">
        <f t="shared" ref="F70" si="13">D70+H70</f>
        <v>197620</v>
      </c>
      <c r="G70" s="101"/>
      <c r="H70" s="13">
        <f>H72</f>
        <v>0</v>
      </c>
      <c r="I70" s="102"/>
      <c r="J70" s="103"/>
      <c r="K70" s="104"/>
    </row>
    <row r="71" spans="1:11" s="3" customFormat="1" ht="25.5" customHeight="1" x14ac:dyDescent="0.25">
      <c r="A71" s="84" t="s">
        <v>83</v>
      </c>
      <c r="B71" s="85"/>
      <c r="C71" s="86"/>
      <c r="D71" s="95">
        <f>4*780</f>
        <v>3120</v>
      </c>
      <c r="E71" s="112"/>
      <c r="F71" s="95">
        <f t="shared" ref="F71" si="14">D71+H71</f>
        <v>3120</v>
      </c>
      <c r="G71" s="113"/>
      <c r="H71" s="12"/>
      <c r="I71" s="97"/>
      <c r="J71" s="98"/>
      <c r="K71" s="99"/>
    </row>
    <row r="72" spans="1:11" s="3" customFormat="1" ht="16.5" customHeight="1" x14ac:dyDescent="0.25">
      <c r="A72" s="84" t="s">
        <v>82</v>
      </c>
      <c r="B72" s="85"/>
      <c r="C72" s="86"/>
      <c r="D72" s="95">
        <f>140*50</f>
        <v>7000</v>
      </c>
      <c r="E72" s="112"/>
      <c r="F72" s="95">
        <f t="shared" ref="F72:F73" si="15">D72+H72</f>
        <v>7000</v>
      </c>
      <c r="G72" s="113"/>
      <c r="H72" s="10"/>
      <c r="I72" s="90"/>
      <c r="J72" s="91"/>
      <c r="K72" s="92"/>
    </row>
    <row r="73" spans="1:11" s="3" customFormat="1" ht="16.5" customHeight="1" x14ac:dyDescent="0.25">
      <c r="A73" s="84" t="s">
        <v>81</v>
      </c>
      <c r="B73" s="85"/>
      <c r="C73" s="86"/>
      <c r="D73" s="95">
        <f>25*7500</f>
        <v>187500</v>
      </c>
      <c r="E73" s="112"/>
      <c r="F73" s="95">
        <f t="shared" si="15"/>
        <v>187500</v>
      </c>
      <c r="G73" s="113"/>
      <c r="H73" s="10"/>
      <c r="I73" s="182"/>
      <c r="J73" s="183"/>
      <c r="K73" s="184"/>
    </row>
    <row r="74" spans="1:11" ht="27" customHeight="1" x14ac:dyDescent="0.25">
      <c r="A74" s="172" t="s">
        <v>38</v>
      </c>
      <c r="B74" s="179"/>
      <c r="C74" s="180"/>
      <c r="D74" s="54">
        <f>SUM(D75:E77)</f>
        <v>13800</v>
      </c>
      <c r="E74" s="55"/>
      <c r="F74" s="54">
        <f>SUM(F75:G77)</f>
        <v>13800</v>
      </c>
      <c r="G74" s="55"/>
      <c r="H74" s="13"/>
      <c r="I74" s="90"/>
      <c r="J74" s="91"/>
      <c r="K74" s="92"/>
    </row>
    <row r="75" spans="1:11" s="3" customFormat="1" ht="16.5" customHeight="1" x14ac:dyDescent="0.25">
      <c r="A75" s="84" t="s">
        <v>84</v>
      </c>
      <c r="B75" s="85"/>
      <c r="C75" s="86"/>
      <c r="D75" s="95">
        <f>4*2150</f>
        <v>8600</v>
      </c>
      <c r="E75" s="112"/>
      <c r="F75" s="95">
        <f>D75+H75</f>
        <v>8600</v>
      </c>
      <c r="G75" s="113"/>
      <c r="H75" s="10"/>
      <c r="I75" s="90"/>
      <c r="J75" s="91"/>
      <c r="K75" s="92"/>
    </row>
    <row r="76" spans="1:11" s="3" customFormat="1" ht="16.5" customHeight="1" x14ac:dyDescent="0.25">
      <c r="A76" s="84" t="s">
        <v>85</v>
      </c>
      <c r="B76" s="85"/>
      <c r="C76" s="86"/>
      <c r="D76" s="95">
        <f>30*120</f>
        <v>3600</v>
      </c>
      <c r="E76" s="112"/>
      <c r="F76" s="95">
        <f>D76+H76</f>
        <v>3600</v>
      </c>
      <c r="G76" s="113"/>
      <c r="H76" s="10"/>
      <c r="I76" s="90"/>
      <c r="J76" s="91"/>
      <c r="K76" s="92"/>
    </row>
    <row r="77" spans="1:11" s="3" customFormat="1" ht="16.5" customHeight="1" x14ac:dyDescent="0.25">
      <c r="A77" s="84" t="s">
        <v>103</v>
      </c>
      <c r="B77" s="85"/>
      <c r="C77" s="86"/>
      <c r="D77" s="95">
        <v>1600</v>
      </c>
      <c r="E77" s="112"/>
      <c r="F77" s="95">
        <f>D77+H77</f>
        <v>1600</v>
      </c>
      <c r="G77" s="113"/>
      <c r="H77" s="10"/>
      <c r="I77" s="90"/>
      <c r="J77" s="91"/>
      <c r="K77" s="92"/>
    </row>
    <row r="78" spans="1:11" ht="34.5" customHeight="1" x14ac:dyDescent="0.25">
      <c r="A78" s="172" t="s">
        <v>35</v>
      </c>
      <c r="B78" s="179"/>
      <c r="C78" s="180"/>
      <c r="D78" s="54">
        <f>SUM(D79:E80)</f>
        <v>79125.61</v>
      </c>
      <c r="E78" s="55"/>
      <c r="F78" s="54">
        <f>D78+H78</f>
        <v>79125.61</v>
      </c>
      <c r="G78" s="55"/>
      <c r="H78" s="13"/>
      <c r="I78" s="90"/>
      <c r="J78" s="91"/>
      <c r="K78" s="92"/>
    </row>
    <row r="79" spans="1:11" s="3" customFormat="1" ht="95.25" customHeight="1" x14ac:dyDescent="0.25">
      <c r="A79" s="84" t="s">
        <v>86</v>
      </c>
      <c r="B79" s="85"/>
      <c r="C79" s="86"/>
      <c r="D79" s="95">
        <f>10276.3+23799.31</f>
        <v>34075.61</v>
      </c>
      <c r="E79" s="112"/>
      <c r="F79" s="95">
        <f>D79+H79</f>
        <v>34075.61</v>
      </c>
      <c r="G79" s="113"/>
      <c r="H79" s="10"/>
      <c r="I79" s="90"/>
      <c r="J79" s="91"/>
      <c r="K79" s="92"/>
    </row>
    <row r="80" spans="1:11" s="3" customFormat="1" ht="104.25" customHeight="1" x14ac:dyDescent="0.25">
      <c r="A80" s="84" t="s">
        <v>92</v>
      </c>
      <c r="B80" s="85"/>
      <c r="C80" s="86"/>
      <c r="D80" s="95">
        <f>4550+40500</f>
        <v>45050</v>
      </c>
      <c r="E80" s="112"/>
      <c r="F80" s="95">
        <f t="shared" ref="F80:F87" si="16">D80+H80</f>
        <v>45050</v>
      </c>
      <c r="G80" s="113"/>
      <c r="H80" s="12"/>
      <c r="I80" s="97"/>
      <c r="J80" s="98"/>
      <c r="K80" s="99"/>
    </row>
    <row r="81" spans="1:11" s="30" customFormat="1" ht="39" customHeight="1" x14ac:dyDescent="0.25">
      <c r="A81" s="105" t="s">
        <v>40</v>
      </c>
      <c r="B81" s="106"/>
      <c r="C81" s="107"/>
      <c r="D81" s="108">
        <f>SUM(D82:E87)</f>
        <v>62770</v>
      </c>
      <c r="E81" s="109"/>
      <c r="F81" s="108">
        <f t="shared" si="16"/>
        <v>62770</v>
      </c>
      <c r="G81" s="109"/>
      <c r="H81" s="11"/>
      <c r="I81" s="61"/>
      <c r="J81" s="110"/>
      <c r="K81" s="111"/>
    </row>
    <row r="82" spans="1:11" s="30" customFormat="1" ht="16.5" customHeight="1" x14ac:dyDescent="0.25">
      <c r="A82" s="67" t="s">
        <v>87</v>
      </c>
      <c r="B82" s="68"/>
      <c r="C82" s="69"/>
      <c r="D82" s="59">
        <v>11200</v>
      </c>
      <c r="E82" s="60"/>
      <c r="F82" s="59">
        <f t="shared" si="16"/>
        <v>11200</v>
      </c>
      <c r="G82" s="60"/>
      <c r="H82" s="11"/>
      <c r="I82" s="61"/>
      <c r="J82" s="62"/>
      <c r="K82" s="63"/>
    </row>
    <row r="83" spans="1:11" s="30" customFormat="1" ht="16.5" customHeight="1" x14ac:dyDescent="0.25">
      <c r="A83" s="67" t="s">
        <v>88</v>
      </c>
      <c r="B83" s="93"/>
      <c r="C83" s="94"/>
      <c r="D83" s="59">
        <v>13440</v>
      </c>
      <c r="E83" s="60"/>
      <c r="F83" s="59">
        <f t="shared" si="16"/>
        <v>13440</v>
      </c>
      <c r="G83" s="60"/>
      <c r="H83" s="11"/>
      <c r="I83" s="61"/>
      <c r="J83" s="62"/>
      <c r="K83" s="63"/>
    </row>
    <row r="84" spans="1:11" s="30" customFormat="1" ht="16.5" customHeight="1" x14ac:dyDescent="0.25">
      <c r="A84" s="67" t="s">
        <v>89</v>
      </c>
      <c r="B84" s="68"/>
      <c r="C84" s="69"/>
      <c r="D84" s="59">
        <v>17920</v>
      </c>
      <c r="E84" s="60"/>
      <c r="F84" s="59">
        <f t="shared" si="16"/>
        <v>17920</v>
      </c>
      <c r="G84" s="60"/>
      <c r="H84" s="11"/>
      <c r="I84" s="61"/>
      <c r="J84" s="62"/>
      <c r="K84" s="63"/>
    </row>
    <row r="85" spans="1:11" s="30" customFormat="1" ht="16.5" customHeight="1" x14ac:dyDescent="0.25">
      <c r="A85" s="67" t="s">
        <v>90</v>
      </c>
      <c r="B85" s="68"/>
      <c r="C85" s="69"/>
      <c r="D85" s="59">
        <v>8960</v>
      </c>
      <c r="E85" s="60"/>
      <c r="F85" s="59">
        <f t="shared" si="16"/>
        <v>8960</v>
      </c>
      <c r="G85" s="60"/>
      <c r="H85" s="11"/>
      <c r="I85" s="61"/>
      <c r="J85" s="62"/>
      <c r="K85" s="63"/>
    </row>
    <row r="86" spans="1:11" s="30" customFormat="1" ht="16.5" customHeight="1" x14ac:dyDescent="0.25">
      <c r="A86" s="67" t="s">
        <v>91</v>
      </c>
      <c r="B86" s="68"/>
      <c r="C86" s="69"/>
      <c r="D86" s="59">
        <v>750</v>
      </c>
      <c r="E86" s="60"/>
      <c r="F86" s="59">
        <f t="shared" si="16"/>
        <v>750</v>
      </c>
      <c r="G86" s="60"/>
      <c r="H86" s="11"/>
      <c r="I86" s="61"/>
      <c r="J86" s="62"/>
      <c r="K86" s="63"/>
    </row>
    <row r="87" spans="1:11" s="30" customFormat="1" ht="16.5" customHeight="1" x14ac:dyDescent="0.25">
      <c r="A87" s="67" t="s">
        <v>60</v>
      </c>
      <c r="B87" s="68"/>
      <c r="C87" s="69"/>
      <c r="D87" s="59">
        <v>10500</v>
      </c>
      <c r="E87" s="60"/>
      <c r="F87" s="59">
        <f t="shared" si="16"/>
        <v>10500</v>
      </c>
      <c r="G87" s="60"/>
      <c r="H87" s="11"/>
      <c r="I87" s="61"/>
      <c r="J87" s="62"/>
      <c r="K87" s="63"/>
    </row>
    <row r="88" spans="1:11" s="3" customFormat="1" x14ac:dyDescent="0.25">
      <c r="A88" s="64" t="s">
        <v>11</v>
      </c>
      <c r="B88" s="64"/>
      <c r="C88" s="64"/>
      <c r="D88" s="65">
        <f>D31+D32+D33+D38+D42+D54+D67+D69+D70+D74+D78+D81</f>
        <v>9940090</v>
      </c>
      <c r="E88" s="66"/>
      <c r="F88" s="65">
        <f>F31+F32+F33+F38+F42+F54+F67+F69+F70+F74+F78+F81</f>
        <v>9940090</v>
      </c>
      <c r="G88" s="66"/>
      <c r="H88" s="28"/>
      <c r="I88" s="50"/>
      <c r="J88" s="50"/>
      <c r="K88" s="50"/>
    </row>
    <row r="89" spans="1:11" s="3" customFormat="1" x14ac:dyDescent="0.25">
      <c r="A89" s="8"/>
      <c r="B89" s="8"/>
      <c r="C89" s="8"/>
      <c r="D89" s="9"/>
      <c r="E89" s="9"/>
      <c r="F89" s="9"/>
      <c r="G89" s="9"/>
      <c r="H89" s="9"/>
    </row>
    <row r="90" spans="1:11" s="3" customFormat="1" x14ac:dyDescent="0.25">
      <c r="A90" s="8"/>
      <c r="B90" s="8"/>
      <c r="C90" s="8"/>
      <c r="D90" s="9"/>
      <c r="E90" s="9"/>
      <c r="F90" s="9"/>
      <c r="G90" s="9"/>
      <c r="H90" s="9"/>
    </row>
    <row r="91" spans="1:11" ht="16.5" customHeight="1" x14ac:dyDescent="0.25">
      <c r="A91" s="76" t="s">
        <v>49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</row>
    <row r="93" spans="1:11" x14ac:dyDescent="0.25">
      <c r="A93" s="50"/>
      <c r="B93" s="50"/>
      <c r="C93" s="50"/>
      <c r="D93" s="71" t="s">
        <v>5</v>
      </c>
      <c r="E93" s="71"/>
      <c r="F93" s="71" t="s">
        <v>6</v>
      </c>
      <c r="G93" s="71"/>
      <c r="H93" s="24" t="s">
        <v>14</v>
      </c>
      <c r="I93" s="72" t="s">
        <v>13</v>
      </c>
      <c r="J93" s="73"/>
      <c r="K93" s="74"/>
    </row>
    <row r="94" spans="1:11" ht="21" customHeight="1" x14ac:dyDescent="0.25">
      <c r="A94" s="83" t="s">
        <v>15</v>
      </c>
      <c r="B94" s="83"/>
      <c r="C94" s="83"/>
      <c r="D94" s="54">
        <v>443913.4</v>
      </c>
      <c r="E94" s="55"/>
      <c r="F94" s="54">
        <f>D94+H94</f>
        <v>443913.4</v>
      </c>
      <c r="G94" s="55"/>
      <c r="H94" s="27"/>
      <c r="I94" s="185"/>
      <c r="J94" s="186"/>
      <c r="K94" s="186"/>
    </row>
    <row r="95" spans="1:11" ht="28.5" customHeight="1" x14ac:dyDescent="0.25">
      <c r="A95" s="77" t="s">
        <v>16</v>
      </c>
      <c r="B95" s="78"/>
      <c r="C95" s="79"/>
      <c r="D95" s="54">
        <v>134061.85</v>
      </c>
      <c r="E95" s="55"/>
      <c r="F95" s="54">
        <f>D95+H95</f>
        <v>134061.85</v>
      </c>
      <c r="G95" s="55"/>
      <c r="H95" s="27"/>
      <c r="I95" s="80"/>
      <c r="J95" s="81"/>
      <c r="K95" s="82"/>
    </row>
    <row r="96" spans="1:11" ht="27.75" customHeight="1" x14ac:dyDescent="0.25">
      <c r="A96" s="51" t="s">
        <v>25</v>
      </c>
      <c r="B96" s="52"/>
      <c r="C96" s="53"/>
      <c r="D96" s="54">
        <f>SUM(D97:E98)</f>
        <v>31586.75</v>
      </c>
      <c r="E96" s="187"/>
      <c r="F96" s="54">
        <f t="shared" ref="F96" si="17">D96+H96</f>
        <v>31586.75</v>
      </c>
      <c r="G96" s="187"/>
      <c r="H96" s="26">
        <f>SUM(H97:H97)</f>
        <v>0</v>
      </c>
      <c r="I96" s="97"/>
      <c r="J96" s="98"/>
      <c r="K96" s="99"/>
    </row>
    <row r="97" spans="1:11" ht="30.75" customHeight="1" x14ac:dyDescent="0.25">
      <c r="A97" s="84" t="s">
        <v>46</v>
      </c>
      <c r="B97" s="85"/>
      <c r="C97" s="86"/>
      <c r="D97" s="95">
        <v>29706.15</v>
      </c>
      <c r="E97" s="112"/>
      <c r="F97" s="95">
        <f>D97+H97</f>
        <v>29706.15</v>
      </c>
      <c r="G97" s="112"/>
      <c r="H97" s="10"/>
      <c r="I97" s="90"/>
      <c r="J97" s="91"/>
      <c r="K97" s="92"/>
    </row>
    <row r="98" spans="1:11" ht="16.5" customHeight="1" x14ac:dyDescent="0.25">
      <c r="A98" s="84" t="s">
        <v>24</v>
      </c>
      <c r="B98" s="85"/>
      <c r="C98" s="86"/>
      <c r="D98" s="95">
        <f>1880.34+0.26</f>
        <v>1880.6</v>
      </c>
      <c r="E98" s="112"/>
      <c r="F98" s="95">
        <f>D98+H98</f>
        <v>1880.6</v>
      </c>
      <c r="G98" s="112"/>
      <c r="H98" s="10"/>
      <c r="I98" s="90"/>
      <c r="J98" s="91"/>
      <c r="K98" s="92"/>
    </row>
    <row r="99" spans="1:11" ht="35.25" customHeight="1" x14ac:dyDescent="0.25">
      <c r="A99" s="51" t="s">
        <v>26</v>
      </c>
      <c r="B99" s="52"/>
      <c r="C99" s="53"/>
      <c r="D99" s="54">
        <v>60000</v>
      </c>
      <c r="E99" s="55"/>
      <c r="F99" s="54">
        <f>D99+H99</f>
        <v>60000</v>
      </c>
      <c r="G99" s="55"/>
      <c r="H99" s="13"/>
      <c r="I99" s="90"/>
      <c r="J99" s="91"/>
      <c r="K99" s="92"/>
    </row>
    <row r="100" spans="1:11" ht="16.5" customHeight="1" x14ac:dyDescent="0.25">
      <c r="A100" s="51" t="s">
        <v>20</v>
      </c>
      <c r="B100" s="52"/>
      <c r="C100" s="53"/>
      <c r="D100" s="54">
        <f>SUM(D101:E102)</f>
        <v>152000</v>
      </c>
      <c r="E100" s="55"/>
      <c r="F100" s="54">
        <f t="shared" ref="F100:F106" si="18">D100+H100</f>
        <v>152000</v>
      </c>
      <c r="G100" s="55"/>
      <c r="H100" s="26">
        <f>SUM(H101:H101)</f>
        <v>0</v>
      </c>
      <c r="I100" s="50"/>
      <c r="J100" s="50"/>
      <c r="K100" s="50"/>
    </row>
    <row r="101" spans="1:11" s="3" customFormat="1" ht="16.5" customHeight="1" x14ac:dyDescent="0.25">
      <c r="A101" s="84" t="s">
        <v>93</v>
      </c>
      <c r="B101" s="85"/>
      <c r="C101" s="86"/>
      <c r="D101" s="95">
        <f>400*350</f>
        <v>140000</v>
      </c>
      <c r="E101" s="112"/>
      <c r="F101" s="95">
        <f t="shared" si="18"/>
        <v>140000</v>
      </c>
      <c r="G101" s="96"/>
      <c r="H101" s="7"/>
      <c r="I101" s="97"/>
      <c r="J101" s="98"/>
      <c r="K101" s="99"/>
    </row>
    <row r="102" spans="1:11" s="3" customFormat="1" ht="16.5" customHeight="1" x14ac:dyDescent="0.25">
      <c r="A102" s="84" t="s">
        <v>104</v>
      </c>
      <c r="B102" s="85"/>
      <c r="C102" s="86"/>
      <c r="D102" s="95">
        <v>12000</v>
      </c>
      <c r="E102" s="112"/>
      <c r="F102" s="95">
        <f t="shared" ref="F102" si="19">D102+H102</f>
        <v>12000</v>
      </c>
      <c r="G102" s="96"/>
      <c r="H102" s="7"/>
      <c r="I102" s="97"/>
      <c r="J102" s="98"/>
      <c r="K102" s="99"/>
    </row>
    <row r="103" spans="1:11" ht="16.5" customHeight="1" x14ac:dyDescent="0.25">
      <c r="A103" s="51" t="s">
        <v>63</v>
      </c>
      <c r="B103" s="52"/>
      <c r="C103" s="53"/>
      <c r="D103" s="54">
        <f>D104</f>
        <v>18643</v>
      </c>
      <c r="E103" s="55"/>
      <c r="F103" s="54">
        <f t="shared" si="18"/>
        <v>18643</v>
      </c>
      <c r="G103" s="55"/>
      <c r="H103" s="26">
        <f>SUM(H104:H104)</f>
        <v>0</v>
      </c>
      <c r="I103" s="50"/>
      <c r="J103" s="50"/>
      <c r="K103" s="50"/>
    </row>
    <row r="104" spans="1:11" s="3" customFormat="1" ht="16.5" customHeight="1" x14ac:dyDescent="0.25">
      <c r="A104" s="84" t="s">
        <v>105</v>
      </c>
      <c r="B104" s="85"/>
      <c r="C104" s="86"/>
      <c r="D104" s="95">
        <v>18643</v>
      </c>
      <c r="E104" s="112"/>
      <c r="F104" s="95">
        <f t="shared" si="18"/>
        <v>18643</v>
      </c>
      <c r="G104" s="96"/>
      <c r="H104" s="7"/>
      <c r="I104" s="97"/>
      <c r="J104" s="98"/>
      <c r="K104" s="99"/>
    </row>
    <row r="105" spans="1:11" ht="32.25" customHeight="1" x14ac:dyDescent="0.25">
      <c r="A105" s="172" t="s">
        <v>39</v>
      </c>
      <c r="B105" s="173"/>
      <c r="C105" s="174"/>
      <c r="D105" s="100">
        <f>D106</f>
        <v>150000</v>
      </c>
      <c r="E105" s="175"/>
      <c r="F105" s="100">
        <f t="shared" si="18"/>
        <v>150000</v>
      </c>
      <c r="G105" s="101"/>
      <c r="H105" s="13">
        <f>H107</f>
        <v>0</v>
      </c>
      <c r="I105" s="102"/>
      <c r="J105" s="103"/>
      <c r="K105" s="104"/>
    </row>
    <row r="106" spans="1:11" s="3" customFormat="1" ht="16.5" customHeight="1" x14ac:dyDescent="0.25">
      <c r="A106" s="84" t="s">
        <v>94</v>
      </c>
      <c r="B106" s="85"/>
      <c r="C106" s="86"/>
      <c r="D106" s="95">
        <f>20*7500</f>
        <v>150000</v>
      </c>
      <c r="E106" s="112"/>
      <c r="F106" s="95">
        <f t="shared" si="18"/>
        <v>150000</v>
      </c>
      <c r="G106" s="113"/>
      <c r="H106" s="12"/>
      <c r="I106" s="97"/>
      <c r="J106" s="98"/>
      <c r="K106" s="99"/>
    </row>
    <row r="107" spans="1:11" s="3" customFormat="1" ht="64.5" hidden="1" customHeight="1" x14ac:dyDescent="0.25">
      <c r="A107" s="67" t="s">
        <v>57</v>
      </c>
      <c r="B107" s="68"/>
      <c r="C107" s="69"/>
      <c r="D107" s="95">
        <v>21200</v>
      </c>
      <c r="E107" s="112"/>
      <c r="F107" s="95">
        <f>D107</f>
        <v>21200</v>
      </c>
      <c r="G107" s="113"/>
      <c r="H107" s="10"/>
      <c r="I107" s="90"/>
      <c r="J107" s="91"/>
      <c r="K107" s="92"/>
    </row>
    <row r="108" spans="1:11" ht="45.75" hidden="1" customHeight="1" x14ac:dyDescent="0.25">
      <c r="A108" s="172" t="s">
        <v>34</v>
      </c>
      <c r="B108" s="179"/>
      <c r="C108" s="180"/>
      <c r="D108" s="100">
        <v>5006.1000000000004</v>
      </c>
      <c r="E108" s="181"/>
      <c r="F108" s="100">
        <f t="shared" ref="F108" si="20">D108+H108</f>
        <v>5006.1000000000004</v>
      </c>
      <c r="G108" s="101"/>
      <c r="H108" s="13"/>
      <c r="I108" s="90"/>
      <c r="J108" s="91"/>
      <c r="K108" s="92"/>
    </row>
    <row r="109" spans="1:11" s="30" customFormat="1" ht="39" hidden="1" customHeight="1" x14ac:dyDescent="0.25">
      <c r="A109" s="105" t="s">
        <v>40</v>
      </c>
      <c r="B109" s="176"/>
      <c r="C109" s="177"/>
      <c r="D109" s="108">
        <f>SUM(D110:E116)</f>
        <v>50300</v>
      </c>
      <c r="E109" s="178"/>
      <c r="F109" s="108">
        <f t="shared" ref="F109:F110" si="21">D109+H109</f>
        <v>50300</v>
      </c>
      <c r="G109" s="178"/>
      <c r="H109" s="11"/>
      <c r="I109" s="61"/>
      <c r="J109" s="62"/>
      <c r="K109" s="63"/>
    </row>
    <row r="110" spans="1:11" s="30" customFormat="1" ht="16.5" hidden="1" customHeight="1" x14ac:dyDescent="0.25">
      <c r="A110" s="67" t="s">
        <v>58</v>
      </c>
      <c r="B110" s="68"/>
      <c r="C110" s="69"/>
      <c r="D110" s="59">
        <v>13440</v>
      </c>
      <c r="E110" s="60"/>
      <c r="F110" s="59">
        <f t="shared" si="21"/>
        <v>13440</v>
      </c>
      <c r="G110" s="60"/>
      <c r="H110" s="11"/>
      <c r="I110" s="61"/>
      <c r="J110" s="62"/>
      <c r="K110" s="63"/>
    </row>
    <row r="111" spans="1:11" s="30" customFormat="1" ht="16.5" hidden="1" customHeight="1" x14ac:dyDescent="0.25">
      <c r="A111" s="67" t="s">
        <v>42</v>
      </c>
      <c r="B111" s="68"/>
      <c r="C111" s="69"/>
      <c r="D111" s="59">
        <v>5600</v>
      </c>
      <c r="E111" s="60"/>
      <c r="F111" s="59">
        <f t="shared" ref="F111" si="22">D111+H111</f>
        <v>5600</v>
      </c>
      <c r="G111" s="60"/>
      <c r="H111" s="11"/>
      <c r="I111" s="61"/>
      <c r="J111" s="62"/>
      <c r="K111" s="63"/>
    </row>
    <row r="112" spans="1:11" s="30" customFormat="1" ht="16.5" hidden="1" customHeight="1" x14ac:dyDescent="0.25">
      <c r="A112" s="67" t="s">
        <v>43</v>
      </c>
      <c r="B112" s="93"/>
      <c r="C112" s="94"/>
      <c r="D112" s="59">
        <v>6720</v>
      </c>
      <c r="E112" s="60"/>
      <c r="F112" s="59">
        <f t="shared" ref="F112:F116" si="23">D112+H112</f>
        <v>6720</v>
      </c>
      <c r="G112" s="60"/>
      <c r="H112" s="11"/>
      <c r="I112" s="61"/>
      <c r="J112" s="62"/>
      <c r="K112" s="63"/>
    </row>
    <row r="113" spans="1:11" s="30" customFormat="1" ht="16.5" hidden="1" customHeight="1" x14ac:dyDescent="0.25">
      <c r="A113" s="67" t="s">
        <v>44</v>
      </c>
      <c r="B113" s="68"/>
      <c r="C113" s="69"/>
      <c r="D113" s="59">
        <v>8960</v>
      </c>
      <c r="E113" s="60"/>
      <c r="F113" s="59">
        <f t="shared" si="23"/>
        <v>8960</v>
      </c>
      <c r="G113" s="60"/>
      <c r="H113" s="11"/>
      <c r="I113" s="61"/>
      <c r="J113" s="62"/>
      <c r="K113" s="63"/>
    </row>
    <row r="114" spans="1:11" s="30" customFormat="1" ht="16.5" hidden="1" customHeight="1" x14ac:dyDescent="0.25">
      <c r="A114" s="67" t="s">
        <v>45</v>
      </c>
      <c r="B114" s="68"/>
      <c r="C114" s="69"/>
      <c r="D114" s="59">
        <v>4480</v>
      </c>
      <c r="E114" s="60"/>
      <c r="F114" s="59">
        <f t="shared" ref="F114:F115" si="24">D114+H114</f>
        <v>4480</v>
      </c>
      <c r="G114" s="60"/>
      <c r="H114" s="11"/>
      <c r="I114" s="61"/>
      <c r="J114" s="62"/>
      <c r="K114" s="63"/>
    </row>
    <row r="115" spans="1:11" s="30" customFormat="1" ht="16.5" hidden="1" customHeight="1" x14ac:dyDescent="0.25">
      <c r="A115" s="67" t="s">
        <v>59</v>
      </c>
      <c r="B115" s="68"/>
      <c r="C115" s="69"/>
      <c r="D115" s="59">
        <v>600</v>
      </c>
      <c r="E115" s="60"/>
      <c r="F115" s="59">
        <f t="shared" si="24"/>
        <v>600</v>
      </c>
      <c r="G115" s="60"/>
      <c r="H115" s="11"/>
      <c r="I115" s="61"/>
      <c r="J115" s="62"/>
      <c r="K115" s="63"/>
    </row>
    <row r="116" spans="1:11" s="30" customFormat="1" ht="16.5" hidden="1" customHeight="1" x14ac:dyDescent="0.25">
      <c r="A116" s="67" t="s">
        <v>60</v>
      </c>
      <c r="B116" s="68"/>
      <c r="C116" s="69"/>
      <c r="D116" s="59">
        <v>10500</v>
      </c>
      <c r="E116" s="60"/>
      <c r="F116" s="59">
        <f t="shared" si="23"/>
        <v>10500</v>
      </c>
      <c r="G116" s="60"/>
      <c r="H116" s="11"/>
      <c r="I116" s="61"/>
      <c r="J116" s="62"/>
      <c r="K116" s="63"/>
    </row>
    <row r="117" spans="1:11" x14ac:dyDescent="0.25">
      <c r="A117" s="64" t="s">
        <v>11</v>
      </c>
      <c r="B117" s="64"/>
      <c r="C117" s="64"/>
      <c r="D117" s="65">
        <f>D94+D95+D96+D99+D100+D103+D105</f>
        <v>990205</v>
      </c>
      <c r="E117" s="66"/>
      <c r="F117" s="65">
        <f>F94+F95+F96+F99+F100+F103+F105</f>
        <v>990205</v>
      </c>
      <c r="G117" s="66"/>
      <c r="H117" s="28">
        <f>H94+H95+H96+H99+H100+H103+H106+H109</f>
        <v>0</v>
      </c>
      <c r="I117" s="50"/>
      <c r="J117" s="50"/>
      <c r="K117" s="50"/>
    </row>
    <row r="118" spans="1:11" ht="12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1:11" ht="12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1:11" x14ac:dyDescent="0.25">
      <c r="A120" s="75" t="s">
        <v>50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</row>
    <row r="121" spans="1:11" ht="8.25" customHeight="1" x14ac:dyDescent="0.2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</row>
    <row r="122" spans="1:11" x14ac:dyDescent="0.25">
      <c r="A122" s="50"/>
      <c r="B122" s="50"/>
      <c r="C122" s="50"/>
      <c r="D122" s="71" t="s">
        <v>5</v>
      </c>
      <c r="E122" s="71"/>
      <c r="F122" s="71" t="s">
        <v>6</v>
      </c>
      <c r="G122" s="71"/>
      <c r="H122" s="24" t="s">
        <v>14</v>
      </c>
      <c r="I122" s="72" t="s">
        <v>13</v>
      </c>
      <c r="J122" s="73"/>
      <c r="K122" s="74"/>
    </row>
    <row r="123" spans="1:11" ht="18.75" customHeight="1" x14ac:dyDescent="0.25">
      <c r="A123" s="51" t="s">
        <v>19</v>
      </c>
      <c r="B123" s="52"/>
      <c r="C123" s="53"/>
      <c r="D123" s="54">
        <f>SUM(D124:E126)</f>
        <v>1340730</v>
      </c>
      <c r="E123" s="55"/>
      <c r="F123" s="54">
        <f>SUM(F124:G126)</f>
        <v>1340730</v>
      </c>
      <c r="G123" s="55"/>
      <c r="H123" s="13"/>
      <c r="I123" s="56"/>
      <c r="J123" s="57"/>
      <c r="K123" s="58"/>
    </row>
    <row r="124" spans="1:11" ht="30" customHeight="1" x14ac:dyDescent="0.25">
      <c r="A124" s="84" t="s">
        <v>95</v>
      </c>
      <c r="B124" s="152"/>
      <c r="C124" s="153"/>
      <c r="D124" s="95">
        <v>208263.4</v>
      </c>
      <c r="E124" s="113"/>
      <c r="F124" s="95">
        <f t="shared" ref="F124" si="25">D124+H124</f>
        <v>208263.4</v>
      </c>
      <c r="G124" s="113"/>
      <c r="H124" s="15"/>
      <c r="I124" s="167"/>
      <c r="J124" s="168"/>
      <c r="K124" s="169"/>
    </row>
    <row r="125" spans="1:11" ht="30" customHeight="1" x14ac:dyDescent="0.25">
      <c r="A125" s="84" t="s">
        <v>96</v>
      </c>
      <c r="B125" s="170"/>
      <c r="C125" s="171"/>
      <c r="D125" s="95">
        <v>99743</v>
      </c>
      <c r="E125" s="112"/>
      <c r="F125" s="95">
        <f>D125+H125</f>
        <v>99743</v>
      </c>
      <c r="G125" s="112"/>
      <c r="H125" s="15"/>
      <c r="I125" s="56"/>
      <c r="J125" s="57"/>
      <c r="K125" s="58"/>
    </row>
    <row r="126" spans="1:11" ht="30" customHeight="1" x14ac:dyDescent="0.25">
      <c r="A126" s="84" t="s">
        <v>106</v>
      </c>
      <c r="B126" s="170"/>
      <c r="C126" s="171"/>
      <c r="D126" s="95">
        <f>537000+495723.6</f>
        <v>1032723.6</v>
      </c>
      <c r="E126" s="112"/>
      <c r="F126" s="95">
        <f>D126+H126</f>
        <v>1032723.6</v>
      </c>
      <c r="G126" s="112"/>
      <c r="H126" s="15"/>
      <c r="I126" s="56"/>
      <c r="J126" s="57"/>
      <c r="K126" s="58"/>
    </row>
    <row r="127" spans="1:11" x14ac:dyDescent="0.25">
      <c r="A127" s="64" t="s">
        <v>11</v>
      </c>
      <c r="B127" s="64"/>
      <c r="C127" s="64"/>
      <c r="D127" s="65">
        <f>D123</f>
        <v>1340730</v>
      </c>
      <c r="E127" s="66"/>
      <c r="F127" s="65">
        <f>F123</f>
        <v>1340730</v>
      </c>
      <c r="G127" s="66"/>
      <c r="H127" s="28"/>
      <c r="I127" s="50"/>
      <c r="J127" s="50"/>
      <c r="K127" s="50"/>
    </row>
    <row r="128" spans="1:11" ht="45" customHeight="1" x14ac:dyDescent="0.25">
      <c r="A128" s="166" t="s">
        <v>27</v>
      </c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</row>
    <row r="129" spans="1:11" ht="30.75" customHeight="1" x14ac:dyDescent="0.25">
      <c r="A129" s="166" t="s">
        <v>97</v>
      </c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</row>
    <row r="130" spans="1:11" ht="20.2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1:11" ht="65.25" customHeight="1" x14ac:dyDescent="0.25">
      <c r="A131" s="146" t="s">
        <v>98</v>
      </c>
      <c r="B131" s="147"/>
      <c r="C131" s="147"/>
      <c r="D131" s="147"/>
      <c r="E131" s="147"/>
      <c r="F131" s="147"/>
      <c r="G131" s="147"/>
      <c r="H131" s="147"/>
      <c r="I131" s="147"/>
      <c r="J131" s="148"/>
    </row>
    <row r="132" spans="1:11" ht="41.25" customHeight="1" x14ac:dyDescent="0.25">
      <c r="A132" s="166" t="s">
        <v>27</v>
      </c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</row>
    <row r="133" spans="1:11" ht="20.25" customHeight="1" x14ac:dyDescent="0.25">
      <c r="A133" s="166" t="s">
        <v>99</v>
      </c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</row>
    <row r="134" spans="1:11" ht="65.25" customHeight="1" x14ac:dyDescent="0.25">
      <c r="A134" s="146" t="s">
        <v>100</v>
      </c>
      <c r="B134" s="147"/>
      <c r="C134" s="147"/>
      <c r="D134" s="147"/>
      <c r="E134" s="147"/>
      <c r="F134" s="147"/>
      <c r="G134" s="147"/>
      <c r="H134" s="147"/>
      <c r="I134" s="147"/>
      <c r="J134" s="148"/>
    </row>
    <row r="135" spans="1:11" ht="43.5" customHeight="1" x14ac:dyDescent="0.25">
      <c r="A135" s="166" t="s">
        <v>27</v>
      </c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</row>
    <row r="136" spans="1:11" ht="20.25" customHeight="1" x14ac:dyDescent="0.25">
      <c r="A136" s="166" t="s">
        <v>101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</row>
    <row r="137" spans="1:11" ht="20.2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1:11" ht="20.2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1:11" ht="20.2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 ht="15" customHeight="1" x14ac:dyDescent="0.25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</row>
    <row r="141" spans="1:11" ht="117.75" customHeight="1" x14ac:dyDescent="0.25">
      <c r="A141" s="166" t="s">
        <v>28</v>
      </c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</row>
    <row r="142" spans="1:11" x14ac:dyDescent="0.2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</row>
    <row r="143" spans="1:11" x14ac:dyDescent="0.2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</row>
    <row r="144" spans="1:11" x14ac:dyDescent="0.25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</row>
    <row r="145" spans="1:11" x14ac:dyDescent="0.2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</row>
    <row r="146" spans="1:11" x14ac:dyDescent="0.25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</row>
    <row r="147" spans="1:11" x14ac:dyDescent="0.25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</row>
    <row r="148" spans="1:11" x14ac:dyDescent="0.25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</row>
    <row r="149" spans="1:11" x14ac:dyDescent="0.25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</row>
    <row r="150" spans="1:11" x14ac:dyDescent="0.25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</row>
  </sheetData>
  <mergeCells count="422">
    <mergeCell ref="A103:C103"/>
    <mergeCell ref="F100:G100"/>
    <mergeCell ref="I100:K100"/>
    <mergeCell ref="F103:G103"/>
    <mergeCell ref="A48:C48"/>
    <mergeCell ref="D48:E48"/>
    <mergeCell ref="F48:G48"/>
    <mergeCell ref="I48:K48"/>
    <mergeCell ref="A77:C77"/>
    <mergeCell ref="D77:E77"/>
    <mergeCell ref="F77:G77"/>
    <mergeCell ref="I77:K77"/>
    <mergeCell ref="A102:C102"/>
    <mergeCell ref="D102:E102"/>
    <mergeCell ref="F102:G102"/>
    <mergeCell ref="I102:K102"/>
    <mergeCell ref="I80:K80"/>
    <mergeCell ref="A88:C88"/>
    <mergeCell ref="D88:E88"/>
    <mergeCell ref="A101:C101"/>
    <mergeCell ref="A78:C78"/>
    <mergeCell ref="A72:C72"/>
    <mergeCell ref="D72:E72"/>
    <mergeCell ref="F72:G72"/>
    <mergeCell ref="D96:E96"/>
    <mergeCell ref="F96:G96"/>
    <mergeCell ref="I96:K96"/>
    <mergeCell ref="A97:C97"/>
    <mergeCell ref="D97:E97"/>
    <mergeCell ref="F97:G97"/>
    <mergeCell ref="A100:C100"/>
    <mergeCell ref="D100:E100"/>
    <mergeCell ref="D99:E99"/>
    <mergeCell ref="F99:G99"/>
    <mergeCell ref="I99:K99"/>
    <mergeCell ref="D98:E98"/>
    <mergeCell ref="F98:G98"/>
    <mergeCell ref="I98:K98"/>
    <mergeCell ref="A98:C98"/>
    <mergeCell ref="I97:K97"/>
    <mergeCell ref="A99:C99"/>
    <mergeCell ref="A96:C96"/>
    <mergeCell ref="D112:E112"/>
    <mergeCell ref="F112:G112"/>
    <mergeCell ref="I112:K112"/>
    <mergeCell ref="F104:G104"/>
    <mergeCell ref="I104:K104"/>
    <mergeCell ref="A112:C112"/>
    <mergeCell ref="I106:K106"/>
    <mergeCell ref="A107:C107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10:C110"/>
    <mergeCell ref="D110:E110"/>
    <mergeCell ref="I109:K109"/>
    <mergeCell ref="F107:G107"/>
    <mergeCell ref="A106:C106"/>
    <mergeCell ref="D106:E106"/>
    <mergeCell ref="F106:G106"/>
    <mergeCell ref="I59:K59"/>
    <mergeCell ref="A69:C69"/>
    <mergeCell ref="D69:E69"/>
    <mergeCell ref="F69:G69"/>
    <mergeCell ref="I69:K69"/>
    <mergeCell ref="I73:K73"/>
    <mergeCell ref="D94:E94"/>
    <mergeCell ref="A70:C70"/>
    <mergeCell ref="D70:E70"/>
    <mergeCell ref="A68:C68"/>
    <mergeCell ref="D68:E68"/>
    <mergeCell ref="I72:K72"/>
    <mergeCell ref="A73:C73"/>
    <mergeCell ref="D73:E73"/>
    <mergeCell ref="A74:C74"/>
    <mergeCell ref="D74:E74"/>
    <mergeCell ref="F74:G74"/>
    <mergeCell ref="I74:K74"/>
    <mergeCell ref="F94:G94"/>
    <mergeCell ref="I94:K94"/>
    <mergeCell ref="D93:E93"/>
    <mergeCell ref="F93:G93"/>
    <mergeCell ref="I93:K93"/>
    <mergeCell ref="D78:E78"/>
    <mergeCell ref="D115:E115"/>
    <mergeCell ref="F115:G115"/>
    <mergeCell ref="I115:K115"/>
    <mergeCell ref="D101:E101"/>
    <mergeCell ref="F101:G101"/>
    <mergeCell ref="I101:K101"/>
    <mergeCell ref="A105:C105"/>
    <mergeCell ref="D105:E105"/>
    <mergeCell ref="F110:G110"/>
    <mergeCell ref="I110:K110"/>
    <mergeCell ref="F105:G105"/>
    <mergeCell ref="I105:K105"/>
    <mergeCell ref="A104:C104"/>
    <mergeCell ref="D104:E104"/>
    <mergeCell ref="A113:C113"/>
    <mergeCell ref="D113:E113"/>
    <mergeCell ref="F113:G113"/>
    <mergeCell ref="I113:K113"/>
    <mergeCell ref="I107:K107"/>
    <mergeCell ref="D107:E107"/>
    <mergeCell ref="A109:C109"/>
    <mergeCell ref="D103:E103"/>
    <mergeCell ref="D109:E109"/>
    <mergeCell ref="F109:G109"/>
    <mergeCell ref="A134:J134"/>
    <mergeCell ref="A135:K135"/>
    <mergeCell ref="A136:K136"/>
    <mergeCell ref="A128:K128"/>
    <mergeCell ref="A129:K129"/>
    <mergeCell ref="I124:K124"/>
    <mergeCell ref="A132:K132"/>
    <mergeCell ref="A133:K133"/>
    <mergeCell ref="A125:C125"/>
    <mergeCell ref="D125:E125"/>
    <mergeCell ref="A131:J131"/>
    <mergeCell ref="A127:C127"/>
    <mergeCell ref="D127:E127"/>
    <mergeCell ref="F127:G127"/>
    <mergeCell ref="I127:K127"/>
    <mergeCell ref="A124:C124"/>
    <mergeCell ref="F125:G125"/>
    <mergeCell ref="I125:K125"/>
    <mergeCell ref="A126:C126"/>
    <mergeCell ref="D126:E126"/>
    <mergeCell ref="F126:G126"/>
    <mergeCell ref="I126:K126"/>
    <mergeCell ref="D124:E124"/>
    <mergeCell ref="F124:G124"/>
    <mergeCell ref="A148:K148"/>
    <mergeCell ref="A149:K149"/>
    <mergeCell ref="A150:K150"/>
    <mergeCell ref="A140:K140"/>
    <mergeCell ref="A141:K141"/>
    <mergeCell ref="A142:K142"/>
    <mergeCell ref="A143:K143"/>
    <mergeCell ref="A144:K144"/>
    <mergeCell ref="A145:K145"/>
    <mergeCell ref="A146:K146"/>
    <mergeCell ref="A147:K147"/>
    <mergeCell ref="F78:G78"/>
    <mergeCell ref="I78:K78"/>
    <mergeCell ref="F88:G88"/>
    <mergeCell ref="I88:K88"/>
    <mergeCell ref="A80:C80"/>
    <mergeCell ref="D80:E80"/>
    <mergeCell ref="F80:G80"/>
    <mergeCell ref="A76:C76"/>
    <mergeCell ref="D76:E76"/>
    <mergeCell ref="F76:G76"/>
    <mergeCell ref="I76:K76"/>
    <mergeCell ref="A84:C84"/>
    <mergeCell ref="D84:E84"/>
    <mergeCell ref="F84:G84"/>
    <mergeCell ref="I84:K84"/>
    <mergeCell ref="A85:C85"/>
    <mergeCell ref="D85:E85"/>
    <mergeCell ref="F85:G85"/>
    <mergeCell ref="I85:K85"/>
    <mergeCell ref="A86:C86"/>
    <mergeCell ref="D86:E86"/>
    <mergeCell ref="F86:G86"/>
    <mergeCell ref="I86:K86"/>
    <mergeCell ref="A87:C87"/>
    <mergeCell ref="A75:C75"/>
    <mergeCell ref="D75:E75"/>
    <mergeCell ref="F75:G75"/>
    <mergeCell ref="I75:K75"/>
    <mergeCell ref="A54:C54"/>
    <mergeCell ref="D54:E54"/>
    <mergeCell ref="F54:G54"/>
    <mergeCell ref="I54:K54"/>
    <mergeCell ref="A53:C53"/>
    <mergeCell ref="D53:E53"/>
    <mergeCell ref="F53:G53"/>
    <mergeCell ref="I53:K53"/>
    <mergeCell ref="F73:G73"/>
    <mergeCell ref="A58:C58"/>
    <mergeCell ref="D58:E58"/>
    <mergeCell ref="F58:G58"/>
    <mergeCell ref="I58:K58"/>
    <mergeCell ref="A67:C67"/>
    <mergeCell ref="D67:E67"/>
    <mergeCell ref="F67:G67"/>
    <mergeCell ref="I67:K67"/>
    <mergeCell ref="A71:C71"/>
    <mergeCell ref="D71:E71"/>
    <mergeCell ref="F71:G71"/>
    <mergeCell ref="I71:K71"/>
    <mergeCell ref="A59:C59"/>
    <mergeCell ref="D59:E59"/>
    <mergeCell ref="F59:G59"/>
    <mergeCell ref="A57:C57"/>
    <mergeCell ref="D57:E57"/>
    <mergeCell ref="F57:G57"/>
    <mergeCell ref="I57:K57"/>
    <mergeCell ref="A55:C55"/>
    <mergeCell ref="D55:E55"/>
    <mergeCell ref="F55:G55"/>
    <mergeCell ref="I55:K55"/>
    <mergeCell ref="A56:C56"/>
    <mergeCell ref="D56:E56"/>
    <mergeCell ref="F56:G56"/>
    <mergeCell ref="I56:K56"/>
    <mergeCell ref="A65:C65"/>
    <mergeCell ref="D65:E65"/>
    <mergeCell ref="F65:G65"/>
    <mergeCell ref="I65:K65"/>
    <mergeCell ref="A60:C60"/>
    <mergeCell ref="D60:E60"/>
    <mergeCell ref="F60:G60"/>
    <mergeCell ref="I60:K60"/>
    <mergeCell ref="A50:C50"/>
    <mergeCell ref="D50:E50"/>
    <mergeCell ref="F50:G50"/>
    <mergeCell ref="I50:K50"/>
    <mergeCell ref="A52:C52"/>
    <mergeCell ref="D52:E52"/>
    <mergeCell ref="F52:G52"/>
    <mergeCell ref="I52:K52"/>
    <mergeCell ref="A44:C44"/>
    <mergeCell ref="D44:E44"/>
    <mergeCell ref="F44:G44"/>
    <mergeCell ref="I44:K44"/>
    <mergeCell ref="A45:C45"/>
    <mergeCell ref="D45:E45"/>
    <mergeCell ref="F45:G45"/>
    <mergeCell ref="I45:K45"/>
    <mergeCell ref="A51:C51"/>
    <mergeCell ref="D51:E51"/>
    <mergeCell ref="F51:G51"/>
    <mergeCell ref="I51:K51"/>
    <mergeCell ref="A41:C41"/>
    <mergeCell ref="D41:E41"/>
    <mergeCell ref="F41:G41"/>
    <mergeCell ref="I41:K41"/>
    <mergeCell ref="A42:C42"/>
    <mergeCell ref="D42:E42"/>
    <mergeCell ref="F42:G42"/>
    <mergeCell ref="I42:K42"/>
    <mergeCell ref="A43:C43"/>
    <mergeCell ref="D43:E43"/>
    <mergeCell ref="F43:G43"/>
    <mergeCell ref="I43:K43"/>
    <mergeCell ref="A33:C33"/>
    <mergeCell ref="D33:E33"/>
    <mergeCell ref="F33:G33"/>
    <mergeCell ref="I33:K33"/>
    <mergeCell ref="A49:C49"/>
    <mergeCell ref="D49:E49"/>
    <mergeCell ref="F49:G49"/>
    <mergeCell ref="I49:K49"/>
    <mergeCell ref="A39:C39"/>
    <mergeCell ref="D39:E39"/>
    <mergeCell ref="F39:G39"/>
    <mergeCell ref="I39:K39"/>
    <mergeCell ref="A40:C40"/>
    <mergeCell ref="D40:E40"/>
    <mergeCell ref="F40:G40"/>
    <mergeCell ref="I40:K40"/>
    <mergeCell ref="A46:C46"/>
    <mergeCell ref="D46:E46"/>
    <mergeCell ref="F46:G46"/>
    <mergeCell ref="I46:K46"/>
    <mergeCell ref="A47:C47"/>
    <mergeCell ref="D47:E47"/>
    <mergeCell ref="F47:G47"/>
    <mergeCell ref="I47:K47"/>
    <mergeCell ref="A38:C38"/>
    <mergeCell ref="D38:E38"/>
    <mergeCell ref="F38:G38"/>
    <mergeCell ref="I38:K38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36:C36"/>
    <mergeCell ref="D36:E36"/>
    <mergeCell ref="F36:G36"/>
    <mergeCell ref="I36:K36"/>
    <mergeCell ref="A12:J12"/>
    <mergeCell ref="F23:G23"/>
    <mergeCell ref="H23:J23"/>
    <mergeCell ref="A26:J26"/>
    <mergeCell ref="A28:J28"/>
    <mergeCell ref="A21:C21"/>
    <mergeCell ref="D21:E21"/>
    <mergeCell ref="F21:G21"/>
    <mergeCell ref="H21:J21"/>
    <mergeCell ref="A22:C22"/>
    <mergeCell ref="D22:E22"/>
    <mergeCell ref="F22:G22"/>
    <mergeCell ref="H22:J22"/>
    <mergeCell ref="A23:C23"/>
    <mergeCell ref="D23:E23"/>
    <mergeCell ref="A13:J13"/>
    <mergeCell ref="A19:C19"/>
    <mergeCell ref="D19:E19"/>
    <mergeCell ref="F19:G19"/>
    <mergeCell ref="H19:J19"/>
    <mergeCell ref="A20:C20"/>
    <mergeCell ref="D20:E20"/>
    <mergeCell ref="F20:G20"/>
    <mergeCell ref="H20:J20"/>
    <mergeCell ref="A2:J2"/>
    <mergeCell ref="A3:J3"/>
    <mergeCell ref="A4:J4"/>
    <mergeCell ref="A5:I5"/>
    <mergeCell ref="A6:J6"/>
    <mergeCell ref="A7:J7"/>
    <mergeCell ref="A11:J11"/>
    <mergeCell ref="A8:J8"/>
    <mergeCell ref="A9:I9"/>
    <mergeCell ref="A10:I10"/>
    <mergeCell ref="A15:J15"/>
    <mergeCell ref="A16:J16"/>
    <mergeCell ref="A18:C18"/>
    <mergeCell ref="D18:E18"/>
    <mergeCell ref="F18:G18"/>
    <mergeCell ref="H18:J18"/>
    <mergeCell ref="A32:C32"/>
    <mergeCell ref="D32:E32"/>
    <mergeCell ref="F32:G32"/>
    <mergeCell ref="I32:K32"/>
    <mergeCell ref="A30:C30"/>
    <mergeCell ref="D30:E30"/>
    <mergeCell ref="F30:G30"/>
    <mergeCell ref="I30:K30"/>
    <mergeCell ref="A31:C31"/>
    <mergeCell ref="D31:E31"/>
    <mergeCell ref="F31:G31"/>
    <mergeCell ref="I31:K31"/>
    <mergeCell ref="A61:C61"/>
    <mergeCell ref="D61:E61"/>
    <mergeCell ref="F61:G61"/>
    <mergeCell ref="I61:K61"/>
    <mergeCell ref="A62:C62"/>
    <mergeCell ref="D62:E62"/>
    <mergeCell ref="F62:G62"/>
    <mergeCell ref="I62:K62"/>
    <mergeCell ref="A64:C64"/>
    <mergeCell ref="D64:E64"/>
    <mergeCell ref="F64:G64"/>
    <mergeCell ref="I64:K64"/>
    <mergeCell ref="A63:C63"/>
    <mergeCell ref="D63:E63"/>
    <mergeCell ref="F63:G63"/>
    <mergeCell ref="I63:K63"/>
    <mergeCell ref="A66:C66"/>
    <mergeCell ref="D66:E66"/>
    <mergeCell ref="F66:G66"/>
    <mergeCell ref="I66:K66"/>
    <mergeCell ref="A83:C83"/>
    <mergeCell ref="D83:E83"/>
    <mergeCell ref="F83:G83"/>
    <mergeCell ref="I83:K83"/>
    <mergeCell ref="F68:G68"/>
    <mergeCell ref="I68:K68"/>
    <mergeCell ref="F70:G70"/>
    <mergeCell ref="I70:K70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D87:E87"/>
    <mergeCell ref="F87:G87"/>
    <mergeCell ref="I87:K87"/>
    <mergeCell ref="A91:K91"/>
    <mergeCell ref="A93:C93"/>
    <mergeCell ref="A95:C95"/>
    <mergeCell ref="D95:E95"/>
    <mergeCell ref="F95:G95"/>
    <mergeCell ref="I95:K95"/>
    <mergeCell ref="A94:C94"/>
    <mergeCell ref="I103:K103"/>
    <mergeCell ref="A123:C123"/>
    <mergeCell ref="D123:E123"/>
    <mergeCell ref="I123:K123"/>
    <mergeCell ref="D116:E116"/>
    <mergeCell ref="F116:G116"/>
    <mergeCell ref="I116:K116"/>
    <mergeCell ref="A117:C117"/>
    <mergeCell ref="D117:E117"/>
    <mergeCell ref="F117:G117"/>
    <mergeCell ref="I117:K117"/>
    <mergeCell ref="A116:C116"/>
    <mergeCell ref="A121:K121"/>
    <mergeCell ref="A122:C122"/>
    <mergeCell ref="D122:E122"/>
    <mergeCell ref="F122:G122"/>
    <mergeCell ref="I122:K122"/>
    <mergeCell ref="A120:K120"/>
    <mergeCell ref="F123:G123"/>
    <mergeCell ref="A114:C114"/>
    <mergeCell ref="D114:E114"/>
    <mergeCell ref="F114:G114"/>
    <mergeCell ref="I114:K114"/>
    <mergeCell ref="A115:C115"/>
  </mergeCells>
  <pageMargins left="0" right="0" top="0" bottom="0" header="0.31496062992125984" footer="0.31496062992125984"/>
  <pageSetup paperSize="9" scale="79" fitToHeight="5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tabSelected="1" workbookViewId="0">
      <selection activeCell="V2" sqref="V2"/>
    </sheetView>
  </sheetViews>
  <sheetFormatPr defaultRowHeight="17.25" x14ac:dyDescent="0.3"/>
  <cols>
    <col min="1" max="1" width="15.140625" style="33" customWidth="1"/>
    <col min="2" max="2" width="14.28515625" style="33" customWidth="1"/>
    <col min="3" max="3" width="14.85546875" style="33" customWidth="1"/>
    <col min="4" max="4" width="10" style="33" bestFit="1" customWidth="1"/>
    <col min="5" max="5" width="10.7109375" style="33" customWidth="1"/>
    <col min="6" max="6" width="9.140625" style="33"/>
    <col min="7" max="7" width="10.85546875" style="33" customWidth="1"/>
    <col min="8" max="8" width="14.5703125" style="33" customWidth="1"/>
    <col min="9" max="9" width="9.28515625" style="33" customWidth="1"/>
    <col min="10" max="10" width="9.85546875" style="33" customWidth="1"/>
    <col min="11" max="11" width="9.7109375" style="33" customWidth="1"/>
    <col min="12" max="13" width="9.140625" style="33"/>
    <col min="14" max="14" width="10.42578125" style="33" bestFit="1" customWidth="1"/>
    <col min="15" max="16384" width="9.140625" style="33"/>
  </cols>
  <sheetData>
    <row r="1" spans="1:11" x14ac:dyDescent="0.3">
      <c r="A1" s="32"/>
    </row>
    <row r="2" spans="1:11" x14ac:dyDescent="0.3">
      <c r="A2" s="196" t="s">
        <v>0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1" x14ac:dyDescent="0.3">
      <c r="A3" s="196" t="s">
        <v>1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1" x14ac:dyDescent="0.3">
      <c r="A4" s="196" t="s">
        <v>2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1" x14ac:dyDescent="0.3">
      <c r="A5" s="196"/>
      <c r="B5" s="188"/>
      <c r="C5" s="188"/>
      <c r="D5" s="188"/>
      <c r="E5" s="188"/>
      <c r="F5" s="188"/>
      <c r="G5" s="188"/>
      <c r="H5" s="188"/>
      <c r="I5" s="188"/>
    </row>
    <row r="6" spans="1:11" x14ac:dyDescent="0.3">
      <c r="A6" s="202" t="s">
        <v>111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1" x14ac:dyDescent="0.3">
      <c r="A7" s="196"/>
      <c r="B7" s="188"/>
      <c r="C7" s="188"/>
      <c r="D7" s="188"/>
      <c r="E7" s="188"/>
      <c r="F7" s="188"/>
      <c r="G7" s="188"/>
      <c r="H7" s="188"/>
      <c r="I7" s="188"/>
      <c r="J7" s="188"/>
    </row>
    <row r="8" spans="1:11" ht="46.5" customHeight="1" x14ac:dyDescent="0.3">
      <c r="A8" s="194" t="s">
        <v>3</v>
      </c>
      <c r="B8" s="195"/>
      <c r="C8" s="195"/>
      <c r="D8" s="195"/>
      <c r="E8" s="195"/>
      <c r="F8" s="195"/>
      <c r="G8" s="195"/>
      <c r="H8" s="195"/>
      <c r="I8" s="195"/>
      <c r="J8" s="188"/>
    </row>
    <row r="9" spans="1:11" ht="7.5" customHeight="1" x14ac:dyDescent="0.3">
      <c r="A9" s="196"/>
      <c r="B9" s="188"/>
      <c r="C9" s="188"/>
      <c r="D9" s="188"/>
      <c r="E9" s="188"/>
      <c r="F9" s="188"/>
      <c r="G9" s="188"/>
      <c r="H9" s="188"/>
      <c r="I9" s="188"/>
    </row>
    <row r="10" spans="1:11" ht="180.75" customHeight="1" x14ac:dyDescent="0.3">
      <c r="A10" s="129" t="s">
        <v>29</v>
      </c>
      <c r="B10" s="130"/>
      <c r="C10" s="130"/>
      <c r="D10" s="130"/>
      <c r="E10" s="130"/>
      <c r="F10" s="130"/>
      <c r="G10" s="130"/>
      <c r="H10" s="130"/>
      <c r="I10" s="130"/>
      <c r="J10" s="34"/>
    </row>
    <row r="11" spans="1:11" ht="29.25" customHeight="1" x14ac:dyDescent="0.3">
      <c r="A11" s="197" t="s">
        <v>107</v>
      </c>
      <c r="B11" s="198"/>
      <c r="C11" s="198"/>
      <c r="D11" s="198"/>
      <c r="E11" s="198"/>
      <c r="F11" s="198"/>
      <c r="G11" s="198"/>
      <c r="H11" s="198"/>
      <c r="I11" s="198"/>
      <c r="J11" s="199"/>
    </row>
    <row r="12" spans="1:11" ht="47.25" customHeight="1" x14ac:dyDescent="0.3">
      <c r="A12" s="190" t="s">
        <v>112</v>
      </c>
      <c r="B12" s="191"/>
      <c r="C12" s="191"/>
      <c r="D12" s="191"/>
      <c r="E12" s="191"/>
      <c r="F12" s="191"/>
      <c r="G12" s="191"/>
      <c r="H12" s="191"/>
      <c r="I12" s="191"/>
      <c r="J12" s="192"/>
      <c r="K12" s="35"/>
    </row>
    <row r="13" spans="1:11" x14ac:dyDescent="0.3">
      <c r="A13" s="200" t="s">
        <v>30</v>
      </c>
      <c r="B13" s="201"/>
      <c r="C13" s="201"/>
      <c r="D13" s="201"/>
      <c r="E13" s="201"/>
      <c r="F13" s="201"/>
      <c r="G13" s="201"/>
      <c r="H13" s="201"/>
      <c r="I13" s="201"/>
      <c r="J13" s="201"/>
    </row>
    <row r="14" spans="1:11" x14ac:dyDescent="0.3">
      <c r="A14" s="36"/>
      <c r="B14" s="37"/>
      <c r="C14" s="37"/>
      <c r="D14" s="37"/>
      <c r="E14" s="37"/>
      <c r="F14" s="37"/>
      <c r="G14" s="37"/>
      <c r="H14" s="37"/>
      <c r="I14" s="37"/>
      <c r="J14" s="37"/>
    </row>
    <row r="15" spans="1:11" ht="57" customHeight="1" x14ac:dyDescent="0.3">
      <c r="A15" s="190" t="s">
        <v>108</v>
      </c>
      <c r="B15" s="191"/>
      <c r="C15" s="191"/>
      <c r="D15" s="191"/>
      <c r="E15" s="191"/>
      <c r="F15" s="191"/>
      <c r="G15" s="191"/>
      <c r="H15" s="191"/>
      <c r="I15" s="191"/>
      <c r="J15" s="192"/>
      <c r="K15" s="35"/>
    </row>
    <row r="16" spans="1:11" ht="60" customHeight="1" x14ac:dyDescent="0.3">
      <c r="A16" s="189" t="s">
        <v>27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6.5" customHeight="1" x14ac:dyDescent="0.3">
      <c r="A17" s="189" t="s">
        <v>109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30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15" customHeight="1" x14ac:dyDescent="0.3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</row>
    <row r="20" spans="1:11" ht="136.5" customHeight="1" x14ac:dyDescent="0.3">
      <c r="A20" s="189" t="s">
        <v>28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x14ac:dyDescent="0.3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</row>
    <row r="22" spans="1:11" x14ac:dyDescent="0.3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</row>
    <row r="23" spans="1:11" x14ac:dyDescent="0.3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</row>
    <row r="24" spans="1:11" x14ac:dyDescent="0.3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</row>
    <row r="25" spans="1:11" x14ac:dyDescent="0.3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  <row r="26" spans="1:11" x14ac:dyDescent="0.3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 x14ac:dyDescent="0.3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</row>
    <row r="28" spans="1:11" x14ac:dyDescent="0.3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</row>
    <row r="29" spans="1:11" x14ac:dyDescent="0.3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</sheetData>
  <mergeCells count="26">
    <mergeCell ref="A7:J7"/>
    <mergeCell ref="A2:J2"/>
    <mergeCell ref="A3:J3"/>
    <mergeCell ref="A4:J4"/>
    <mergeCell ref="A5:I5"/>
    <mergeCell ref="A6:J6"/>
    <mergeCell ref="A15:J15"/>
    <mergeCell ref="A16:K16"/>
    <mergeCell ref="A17:K17"/>
    <mergeCell ref="A19:K19"/>
    <mergeCell ref="A8:J8"/>
    <mergeCell ref="A9:I9"/>
    <mergeCell ref="A10:I10"/>
    <mergeCell ref="A11:J11"/>
    <mergeCell ref="A12:J12"/>
    <mergeCell ref="A13:J13"/>
    <mergeCell ref="A26:K26"/>
    <mergeCell ref="A27:K27"/>
    <mergeCell ref="A28:K28"/>
    <mergeCell ref="A29:K29"/>
    <mergeCell ref="A20:K20"/>
    <mergeCell ref="A21:K21"/>
    <mergeCell ref="A22:K22"/>
    <mergeCell ref="A23:K23"/>
    <mergeCell ref="A24:K24"/>
    <mergeCell ref="A25:K25"/>
  </mergeCells>
  <pageMargins left="0.70866141732283472" right="0" top="0.74803149606299213" bottom="0.74803149606299213" header="0.31496062992125984" footer="0.31496062992125984"/>
  <pageSetup paperSize="9" scale="7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6"/>
  <sheetViews>
    <sheetView workbookViewId="0">
      <selection activeCell="I64" sqref="I64:K64"/>
    </sheetView>
  </sheetViews>
  <sheetFormatPr defaultRowHeight="15" x14ac:dyDescent="0.25"/>
  <cols>
    <col min="1" max="1" width="15.140625" customWidth="1"/>
    <col min="2" max="2" width="14.28515625" customWidth="1"/>
    <col min="3" max="3" width="15.8554687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114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114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114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 x14ac:dyDescent="0.25">
      <c r="A5" s="114"/>
      <c r="B5" s="70"/>
      <c r="C5" s="70"/>
      <c r="D5" s="70"/>
      <c r="E5" s="70"/>
      <c r="F5" s="70"/>
      <c r="G5" s="70"/>
      <c r="H5" s="70"/>
      <c r="I5" s="70"/>
    </row>
    <row r="6" spans="1:10" x14ac:dyDescent="0.25">
      <c r="A6" s="125" t="s">
        <v>127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ht="15.75" x14ac:dyDescent="0.25">
      <c r="A7" s="114"/>
      <c r="B7" s="70"/>
      <c r="C7" s="70"/>
      <c r="D7" s="70"/>
      <c r="E7" s="70"/>
      <c r="F7" s="70"/>
      <c r="G7" s="70"/>
      <c r="H7" s="70"/>
      <c r="I7" s="70"/>
      <c r="J7" s="70"/>
    </row>
    <row r="8" spans="1:10" ht="46.5" customHeight="1" x14ac:dyDescent="0.25">
      <c r="A8" s="129" t="s">
        <v>3</v>
      </c>
      <c r="B8" s="130"/>
      <c r="C8" s="130"/>
      <c r="D8" s="130"/>
      <c r="E8" s="130"/>
      <c r="F8" s="130"/>
      <c r="G8" s="130"/>
      <c r="H8" s="130"/>
      <c r="I8" s="130"/>
      <c r="J8" s="70"/>
    </row>
    <row r="9" spans="1:10" ht="7.5" customHeight="1" x14ac:dyDescent="0.25">
      <c r="A9" s="114"/>
      <c r="B9" s="70"/>
      <c r="C9" s="70"/>
      <c r="D9" s="70"/>
      <c r="E9" s="70"/>
      <c r="F9" s="70"/>
      <c r="G9" s="70"/>
      <c r="H9" s="70"/>
      <c r="I9" s="70"/>
    </row>
    <row r="10" spans="1:10" ht="136.5" customHeight="1" x14ac:dyDescent="0.3">
      <c r="A10" s="194" t="s">
        <v>148</v>
      </c>
      <c r="B10" s="195"/>
      <c r="C10" s="195"/>
      <c r="D10" s="195"/>
      <c r="E10" s="195"/>
      <c r="F10" s="195"/>
      <c r="G10" s="195"/>
      <c r="H10" s="195"/>
      <c r="I10" s="195"/>
      <c r="J10" s="19"/>
    </row>
    <row r="11" spans="1:10" ht="18" customHeight="1" x14ac:dyDescent="0.25">
      <c r="A11" s="126" t="s">
        <v>125</v>
      </c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ht="35.25" customHeight="1" x14ac:dyDescent="0.25">
      <c r="A12" s="126" t="s">
        <v>124</v>
      </c>
      <c r="B12" s="148"/>
      <c r="C12" s="148"/>
      <c r="D12" s="148"/>
      <c r="E12" s="148"/>
      <c r="F12" s="148"/>
      <c r="G12" s="148"/>
      <c r="H12" s="148"/>
      <c r="I12" s="148"/>
      <c r="J12" s="148"/>
    </row>
    <row r="13" spans="1:10" ht="20.25" customHeight="1" x14ac:dyDescent="0.25">
      <c r="A13" s="126" t="s">
        <v>123</v>
      </c>
      <c r="B13" s="148"/>
      <c r="C13" s="148"/>
      <c r="D13" s="148"/>
      <c r="E13" s="148"/>
      <c r="F13" s="148"/>
      <c r="G13" s="148"/>
      <c r="H13" s="148"/>
      <c r="I13" s="148"/>
      <c r="J13" s="148"/>
    </row>
    <row r="14" spans="1:10" ht="19.5" customHeight="1" x14ac:dyDescent="0.25">
      <c r="A14" s="126" t="s">
        <v>128</v>
      </c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0" ht="15.75" x14ac:dyDescent="0.25">
      <c r="A15" s="131" t="s">
        <v>30</v>
      </c>
      <c r="B15" s="132"/>
      <c r="C15" s="132"/>
      <c r="D15" s="132"/>
      <c r="E15" s="132"/>
      <c r="F15" s="132"/>
      <c r="G15" s="132"/>
      <c r="H15" s="132"/>
      <c r="I15" s="132"/>
      <c r="J15" s="132"/>
    </row>
    <row r="16" spans="1:10" ht="50.25" customHeight="1" x14ac:dyDescent="0.25">
      <c r="A16" s="203" t="s">
        <v>113</v>
      </c>
      <c r="B16" s="130"/>
      <c r="C16" s="130"/>
      <c r="D16" s="130"/>
      <c r="E16" s="130"/>
      <c r="F16" s="130"/>
      <c r="G16" s="130"/>
      <c r="H16" s="130"/>
      <c r="I16" s="130"/>
      <c r="J16" s="70"/>
    </row>
    <row r="17" spans="1:11" ht="18.75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1" ht="15.75" x14ac:dyDescent="0.25">
      <c r="A18" s="114" t="s">
        <v>4</v>
      </c>
      <c r="B18" s="70"/>
      <c r="C18" s="70"/>
      <c r="D18" s="70"/>
      <c r="E18" s="70"/>
      <c r="F18" s="70"/>
      <c r="G18" s="70"/>
      <c r="H18" s="70"/>
      <c r="I18" s="70"/>
      <c r="J18" s="70"/>
    </row>
    <row r="19" spans="1:11" ht="15.75" x14ac:dyDescent="0.25">
      <c r="A19" s="115" t="s">
        <v>138</v>
      </c>
      <c r="B19" s="116"/>
      <c r="C19" s="116"/>
      <c r="D19" s="116"/>
      <c r="E19" s="116"/>
      <c r="F19" s="116"/>
      <c r="G19" s="116"/>
      <c r="H19" s="116"/>
      <c r="I19" s="116"/>
      <c r="J19" s="116"/>
    </row>
    <row r="20" spans="1:11" ht="15.75" x14ac:dyDescent="0.25">
      <c r="A20" s="2"/>
    </row>
    <row r="21" spans="1:11" ht="15.75" x14ac:dyDescent="0.25">
      <c r="A21" s="117"/>
      <c r="B21" s="118"/>
      <c r="C21" s="118"/>
      <c r="D21" s="71" t="s">
        <v>21</v>
      </c>
      <c r="E21" s="71"/>
      <c r="F21" s="71" t="s">
        <v>6</v>
      </c>
      <c r="G21" s="71"/>
      <c r="H21" s="117" t="s">
        <v>14</v>
      </c>
      <c r="I21" s="71"/>
      <c r="J21" s="71"/>
    </row>
    <row r="22" spans="1:11" ht="30" customHeight="1" x14ac:dyDescent="0.25">
      <c r="A22" s="137" t="s">
        <v>7</v>
      </c>
      <c r="B22" s="138"/>
      <c r="C22" s="138"/>
      <c r="D22" s="139">
        <f>5523370+1053360+3363360</f>
        <v>9940090</v>
      </c>
      <c r="E22" s="139"/>
      <c r="F22" s="139">
        <f>D22+H22</f>
        <v>9945281</v>
      </c>
      <c r="G22" s="139"/>
      <c r="H22" s="141">
        <v>5191</v>
      </c>
      <c r="I22" s="141"/>
      <c r="J22" s="141"/>
    </row>
    <row r="23" spans="1:11" x14ac:dyDescent="0.25">
      <c r="A23" s="137" t="s">
        <v>8</v>
      </c>
      <c r="B23" s="138"/>
      <c r="C23" s="138"/>
      <c r="D23" s="139">
        <f>308006.4+537000+495723.6</f>
        <v>1340730</v>
      </c>
      <c r="E23" s="139"/>
      <c r="F23" s="139">
        <f t="shared" ref="F23:F25" si="0">D23+H23</f>
        <v>1340730</v>
      </c>
      <c r="G23" s="139"/>
      <c r="H23" s="141"/>
      <c r="I23" s="141"/>
      <c r="J23" s="141"/>
    </row>
    <row r="24" spans="1:11" x14ac:dyDescent="0.25">
      <c r="A24" s="137" t="s">
        <v>9</v>
      </c>
      <c r="B24" s="138"/>
      <c r="C24" s="138"/>
      <c r="D24" s="139">
        <v>0</v>
      </c>
      <c r="E24" s="139"/>
      <c r="F24" s="139">
        <f t="shared" si="0"/>
        <v>0</v>
      </c>
      <c r="G24" s="139"/>
      <c r="H24" s="141"/>
      <c r="I24" s="141"/>
      <c r="J24" s="141"/>
    </row>
    <row r="25" spans="1:11" ht="30" customHeight="1" x14ac:dyDescent="0.25">
      <c r="A25" s="142" t="s">
        <v>10</v>
      </c>
      <c r="B25" s="143"/>
      <c r="C25" s="144"/>
      <c r="D25" s="139">
        <v>990205</v>
      </c>
      <c r="E25" s="139"/>
      <c r="F25" s="204">
        <f t="shared" si="0"/>
        <v>979104.66</v>
      </c>
      <c r="G25" s="204"/>
      <c r="H25" s="141">
        <v>-11100.34</v>
      </c>
      <c r="I25" s="141"/>
      <c r="J25" s="141"/>
    </row>
    <row r="26" spans="1:11" ht="15.75" x14ac:dyDescent="0.25">
      <c r="A26" s="117" t="s">
        <v>11</v>
      </c>
      <c r="B26" s="145"/>
      <c r="C26" s="145"/>
      <c r="D26" s="133">
        <f>D22+D23+D24+D25</f>
        <v>12271025</v>
      </c>
      <c r="E26" s="133"/>
      <c r="F26" s="133">
        <f>SUM(F22:G25)</f>
        <v>12265115.66</v>
      </c>
      <c r="G26" s="133"/>
      <c r="H26" s="205">
        <f>H22+H23+H24+H25</f>
        <v>-5909.34</v>
      </c>
      <c r="I26" s="135"/>
      <c r="J26" s="135"/>
    </row>
    <row r="27" spans="1:11" ht="15.75" x14ac:dyDescent="0.25">
      <c r="A27" s="16"/>
      <c r="B27" s="17"/>
      <c r="C27" s="17"/>
      <c r="D27" s="31"/>
      <c r="E27" s="31"/>
      <c r="F27" s="31"/>
      <c r="G27" s="31"/>
      <c r="H27" s="18"/>
      <c r="I27" s="9"/>
      <c r="J27" s="9"/>
    </row>
    <row r="28" spans="1:11" ht="15.75" x14ac:dyDescent="0.25">
      <c r="A28" s="115" t="s">
        <v>139</v>
      </c>
      <c r="B28" s="116"/>
      <c r="C28" s="116"/>
      <c r="D28" s="116"/>
      <c r="E28" s="116"/>
      <c r="F28" s="116"/>
      <c r="G28" s="116"/>
      <c r="H28" s="116"/>
      <c r="I28" s="116"/>
      <c r="J28" s="116"/>
    </row>
    <row r="30" spans="1:11" x14ac:dyDescent="0.25">
      <c r="A30" s="136" t="s">
        <v>12</v>
      </c>
      <c r="B30" s="136"/>
      <c r="C30" s="136"/>
      <c r="D30" s="136"/>
      <c r="E30" s="136"/>
      <c r="F30" s="136"/>
      <c r="G30" s="136"/>
      <c r="H30" s="136"/>
      <c r="I30" s="136"/>
      <c r="J30" s="136"/>
    </row>
    <row r="31" spans="1:11" ht="10.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</row>
    <row r="32" spans="1:11" s="3" customFormat="1" x14ac:dyDescent="0.25">
      <c r="A32" s="50"/>
      <c r="B32" s="50"/>
      <c r="C32" s="50"/>
      <c r="D32" s="71" t="s">
        <v>21</v>
      </c>
      <c r="E32" s="71"/>
      <c r="F32" s="71" t="s">
        <v>6</v>
      </c>
      <c r="G32" s="71"/>
      <c r="H32" s="24" t="s">
        <v>14</v>
      </c>
      <c r="I32" s="72" t="s">
        <v>13</v>
      </c>
      <c r="J32" s="73"/>
      <c r="K32" s="74"/>
    </row>
    <row r="33" spans="1:11" s="3" customFormat="1" ht="17.45" customHeight="1" x14ac:dyDescent="0.25">
      <c r="A33" s="121" t="s">
        <v>15</v>
      </c>
      <c r="B33" s="121"/>
      <c r="C33" s="121"/>
      <c r="D33" s="54">
        <f>2876553.58+809032.25+575833.86</f>
        <v>4261419.6900000004</v>
      </c>
      <c r="E33" s="55"/>
      <c r="F33" s="54">
        <f t="shared" ref="F33:F39" si="1">D33+H33</f>
        <v>4101924.5700000003</v>
      </c>
      <c r="G33" s="55"/>
      <c r="H33" s="48">
        <v>-159495.12</v>
      </c>
      <c r="I33" s="206" t="s">
        <v>136</v>
      </c>
      <c r="J33" s="207"/>
      <c r="K33" s="208"/>
    </row>
    <row r="34" spans="1:11" s="3" customFormat="1" ht="17.45" customHeight="1" x14ac:dyDescent="0.25">
      <c r="A34" s="51" t="s">
        <v>16</v>
      </c>
      <c r="B34" s="52"/>
      <c r="C34" s="53"/>
      <c r="D34" s="119">
        <f>868719.18+244327.75+173901.83</f>
        <v>1286948.7600000002</v>
      </c>
      <c r="E34" s="120"/>
      <c r="F34" s="54">
        <f t="shared" si="1"/>
        <v>1238781.2100000002</v>
      </c>
      <c r="G34" s="55"/>
      <c r="H34" s="48">
        <v>-48167.55</v>
      </c>
      <c r="I34" s="215"/>
      <c r="J34" s="216"/>
      <c r="K34" s="217"/>
    </row>
    <row r="35" spans="1:11" s="3" customFormat="1" ht="16.5" customHeight="1" x14ac:dyDescent="0.25">
      <c r="A35" s="121" t="s">
        <v>18</v>
      </c>
      <c r="B35" s="121"/>
      <c r="C35" s="121"/>
      <c r="D35" s="54">
        <f>SUM(D36:E39)</f>
        <v>18824.400000000001</v>
      </c>
      <c r="E35" s="55"/>
      <c r="F35" s="54">
        <f t="shared" si="1"/>
        <v>18824.400000000001</v>
      </c>
      <c r="G35" s="55"/>
      <c r="H35" s="26">
        <f>SUM(H36:H39)</f>
        <v>0</v>
      </c>
      <c r="I35" s="151"/>
      <c r="J35" s="151"/>
      <c r="K35" s="151"/>
    </row>
    <row r="36" spans="1:11" s="3" customFormat="1" ht="16.5" customHeight="1" x14ac:dyDescent="0.25">
      <c r="A36" s="154" t="s">
        <v>41</v>
      </c>
      <c r="B36" s="155"/>
      <c r="C36" s="96"/>
      <c r="D36" s="95">
        <v>14400</v>
      </c>
      <c r="E36" s="112"/>
      <c r="F36" s="95">
        <f t="shared" si="1"/>
        <v>14400</v>
      </c>
      <c r="G36" s="113"/>
      <c r="H36" s="10"/>
      <c r="I36" s="90"/>
      <c r="J36" s="91"/>
      <c r="K36" s="92"/>
    </row>
    <row r="37" spans="1:11" s="3" customFormat="1" ht="16.5" customHeight="1" x14ac:dyDescent="0.25">
      <c r="A37" s="154" t="s">
        <v>69</v>
      </c>
      <c r="B37" s="155"/>
      <c r="C37" s="96"/>
      <c r="D37" s="95">
        <v>2647.2</v>
      </c>
      <c r="E37" s="112"/>
      <c r="F37" s="95">
        <f t="shared" si="1"/>
        <v>2647.2</v>
      </c>
      <c r="G37" s="113"/>
      <c r="H37" s="14"/>
      <c r="I37" s="151"/>
      <c r="J37" s="151"/>
      <c r="K37" s="151"/>
    </row>
    <row r="38" spans="1:11" s="3" customFormat="1" ht="16.5" customHeight="1" x14ac:dyDescent="0.25">
      <c r="A38" s="84" t="s">
        <v>68</v>
      </c>
      <c r="B38" s="152"/>
      <c r="C38" s="153"/>
      <c r="D38" s="95">
        <v>277.2</v>
      </c>
      <c r="E38" s="112"/>
      <c r="F38" s="95">
        <f t="shared" si="1"/>
        <v>277.2</v>
      </c>
      <c r="G38" s="113"/>
      <c r="H38" s="10"/>
      <c r="I38" s="90"/>
      <c r="J38" s="91"/>
      <c r="K38" s="92"/>
    </row>
    <row r="39" spans="1:11" s="3" customFormat="1" ht="20.25" customHeight="1" x14ac:dyDescent="0.25">
      <c r="A39" s="84" t="s">
        <v>70</v>
      </c>
      <c r="B39" s="152"/>
      <c r="C39" s="153"/>
      <c r="D39" s="95">
        <v>1500</v>
      </c>
      <c r="E39" s="112"/>
      <c r="F39" s="95">
        <f t="shared" si="1"/>
        <v>1500</v>
      </c>
      <c r="G39" s="113"/>
      <c r="H39" s="10"/>
      <c r="I39" s="90"/>
      <c r="J39" s="91"/>
      <c r="K39" s="92"/>
    </row>
    <row r="40" spans="1:11" s="3" customFormat="1" ht="16.5" customHeight="1" x14ac:dyDescent="0.25">
      <c r="A40" s="51" t="s">
        <v>17</v>
      </c>
      <c r="B40" s="52"/>
      <c r="C40" s="53"/>
      <c r="D40" s="149">
        <f>SUM(D41:E43)</f>
        <v>595215.16999999993</v>
      </c>
      <c r="E40" s="150"/>
      <c r="F40" s="149">
        <f>H40+D40</f>
        <v>595658.36999999988</v>
      </c>
      <c r="G40" s="150"/>
      <c r="H40" s="39">
        <f>SUM(H41:H43)</f>
        <v>443.2</v>
      </c>
      <c r="I40" s="151"/>
      <c r="J40" s="151"/>
      <c r="K40" s="151"/>
    </row>
    <row r="41" spans="1:11" s="3" customFormat="1" ht="16.5" customHeight="1" x14ac:dyDescent="0.25">
      <c r="A41" s="84" t="s">
        <v>73</v>
      </c>
      <c r="B41" s="85"/>
      <c r="C41" s="86"/>
      <c r="D41" s="95">
        <f>75000*7.55</f>
        <v>566250</v>
      </c>
      <c r="E41" s="112"/>
      <c r="F41" s="95">
        <f>H41+D41</f>
        <v>566250</v>
      </c>
      <c r="G41" s="113"/>
      <c r="H41" s="39"/>
      <c r="I41" s="97"/>
      <c r="J41" s="98"/>
      <c r="K41" s="99"/>
    </row>
    <row r="42" spans="1:11" s="3" customFormat="1" ht="24" customHeight="1" x14ac:dyDescent="0.25">
      <c r="A42" s="84" t="s">
        <v>145</v>
      </c>
      <c r="B42" s="85"/>
      <c r="C42" s="86"/>
      <c r="D42" s="95">
        <f>3*2800.19</f>
        <v>8400.57</v>
      </c>
      <c r="E42" s="112"/>
      <c r="F42" s="95">
        <f>H42+D42</f>
        <v>8400.57</v>
      </c>
      <c r="G42" s="113"/>
      <c r="H42" s="42"/>
      <c r="I42" s="90"/>
      <c r="J42" s="91"/>
      <c r="K42" s="92"/>
    </row>
    <row r="43" spans="1:11" s="3" customFormat="1" ht="34.5" customHeight="1" x14ac:dyDescent="0.25">
      <c r="A43" s="84" t="s">
        <v>72</v>
      </c>
      <c r="B43" s="85"/>
      <c r="C43" s="86"/>
      <c r="D43" s="95">
        <f>70*293.78</f>
        <v>20564.599999999999</v>
      </c>
      <c r="E43" s="112"/>
      <c r="F43" s="95">
        <f>H43+D43</f>
        <v>21007.8</v>
      </c>
      <c r="G43" s="113"/>
      <c r="H43" s="42">
        <v>443.2</v>
      </c>
      <c r="I43" s="90" t="s">
        <v>131</v>
      </c>
      <c r="J43" s="91"/>
      <c r="K43" s="92"/>
    </row>
    <row r="44" spans="1:11" s="3" customFormat="1" ht="19.5" customHeight="1" x14ac:dyDescent="0.25">
      <c r="A44" s="51" t="s">
        <v>19</v>
      </c>
      <c r="B44" s="52"/>
      <c r="C44" s="53"/>
      <c r="D44" s="149">
        <f>SUM(D45:E55)</f>
        <v>387612.25</v>
      </c>
      <c r="E44" s="150"/>
      <c r="F44" s="149">
        <f>D44+H44</f>
        <v>383012.25</v>
      </c>
      <c r="G44" s="150"/>
      <c r="H44" s="39">
        <f>SUM(H46:H55)</f>
        <v>-4600</v>
      </c>
      <c r="I44" s="122"/>
      <c r="J44" s="123"/>
      <c r="K44" s="124"/>
    </row>
    <row r="45" spans="1:11" s="3" customFormat="1" ht="65.25" customHeight="1" x14ac:dyDescent="0.25">
      <c r="A45" s="84" t="s">
        <v>74</v>
      </c>
      <c r="B45" s="85"/>
      <c r="C45" s="86"/>
      <c r="D45" s="59">
        <f>20000+3*10000+15000</f>
        <v>65000</v>
      </c>
      <c r="E45" s="60"/>
      <c r="F45" s="95">
        <f t="shared" ref="F45:F55" si="2">D45+H45</f>
        <v>65000</v>
      </c>
      <c r="G45" s="113"/>
      <c r="H45" s="40"/>
      <c r="I45" s="90"/>
      <c r="J45" s="91"/>
      <c r="K45" s="92"/>
    </row>
    <row r="46" spans="1:11" s="3" customFormat="1" ht="72" customHeight="1" x14ac:dyDescent="0.25">
      <c r="A46" s="84" t="s">
        <v>75</v>
      </c>
      <c r="B46" s="85"/>
      <c r="C46" s="86"/>
      <c r="D46" s="59">
        <f>8250+6000+3000</f>
        <v>17250</v>
      </c>
      <c r="E46" s="60"/>
      <c r="F46" s="95">
        <f t="shared" si="2"/>
        <v>17250</v>
      </c>
      <c r="G46" s="113"/>
      <c r="H46" s="40"/>
      <c r="I46" s="90"/>
      <c r="J46" s="91"/>
      <c r="K46" s="92"/>
    </row>
    <row r="47" spans="1:11" s="3" customFormat="1" ht="38.25" customHeight="1" x14ac:dyDescent="0.25">
      <c r="A47" s="84" t="s">
        <v>22</v>
      </c>
      <c r="B47" s="85"/>
      <c r="C47" s="86"/>
      <c r="D47" s="59">
        <v>6000</v>
      </c>
      <c r="E47" s="60"/>
      <c r="F47" s="95">
        <f t="shared" si="2"/>
        <v>1400</v>
      </c>
      <c r="G47" s="113"/>
      <c r="H47" s="42">
        <v>-4600</v>
      </c>
      <c r="I47" s="90" t="s">
        <v>132</v>
      </c>
      <c r="J47" s="91"/>
      <c r="K47" s="92"/>
    </row>
    <row r="48" spans="1:11" s="3" customFormat="1" ht="51.75" customHeight="1" x14ac:dyDescent="0.25">
      <c r="A48" s="84" t="s">
        <v>36</v>
      </c>
      <c r="B48" s="85"/>
      <c r="C48" s="86"/>
      <c r="D48" s="59">
        <f>62042.4+120339.85</f>
        <v>182382.25</v>
      </c>
      <c r="E48" s="60"/>
      <c r="F48" s="95">
        <f t="shared" si="2"/>
        <v>182382.25</v>
      </c>
      <c r="G48" s="113"/>
      <c r="H48" s="41"/>
      <c r="I48" s="156"/>
      <c r="J48" s="157"/>
      <c r="K48" s="158"/>
    </row>
    <row r="49" spans="1:11" s="3" customFormat="1" ht="16.5" customHeight="1" x14ac:dyDescent="0.25">
      <c r="A49" s="84" t="s">
        <v>37</v>
      </c>
      <c r="B49" s="85"/>
      <c r="C49" s="86"/>
      <c r="D49" s="59">
        <f>1670*42</f>
        <v>70140</v>
      </c>
      <c r="E49" s="60"/>
      <c r="F49" s="95">
        <f t="shared" si="2"/>
        <v>70140</v>
      </c>
      <c r="G49" s="113"/>
      <c r="H49" s="42"/>
      <c r="I49" s="90"/>
      <c r="J49" s="91"/>
      <c r="K49" s="92"/>
    </row>
    <row r="50" spans="1:11" s="3" customFormat="1" ht="16.5" customHeight="1" x14ac:dyDescent="0.25">
      <c r="A50" s="84" t="s">
        <v>102</v>
      </c>
      <c r="B50" s="85"/>
      <c r="C50" s="86"/>
      <c r="D50" s="59">
        <v>13440</v>
      </c>
      <c r="E50" s="60"/>
      <c r="F50" s="95">
        <f t="shared" si="2"/>
        <v>13440</v>
      </c>
      <c r="G50" s="113"/>
      <c r="H50" s="42"/>
      <c r="I50" s="90"/>
      <c r="J50" s="91"/>
      <c r="K50" s="92"/>
    </row>
    <row r="51" spans="1:11" s="3" customFormat="1" ht="37.5" customHeight="1" x14ac:dyDescent="0.25">
      <c r="A51" s="84" t="s">
        <v>51</v>
      </c>
      <c r="B51" s="85"/>
      <c r="C51" s="86"/>
      <c r="D51" s="59">
        <v>9000</v>
      </c>
      <c r="E51" s="60"/>
      <c r="F51" s="95">
        <f t="shared" si="2"/>
        <v>9000</v>
      </c>
      <c r="G51" s="113"/>
      <c r="H51" s="40"/>
      <c r="I51" s="122"/>
      <c r="J51" s="123"/>
      <c r="K51" s="124"/>
    </row>
    <row r="52" spans="1:11" s="3" customFormat="1" ht="16.5" customHeight="1" x14ac:dyDescent="0.25">
      <c r="A52" s="84" t="s">
        <v>23</v>
      </c>
      <c r="B52" s="85"/>
      <c r="C52" s="86"/>
      <c r="D52" s="59">
        <v>10000</v>
      </c>
      <c r="E52" s="60"/>
      <c r="F52" s="95">
        <f t="shared" si="2"/>
        <v>10000</v>
      </c>
      <c r="G52" s="113"/>
      <c r="H52" s="40"/>
      <c r="I52" s="122"/>
      <c r="J52" s="123"/>
      <c r="K52" s="124"/>
    </row>
    <row r="53" spans="1:11" s="3" customFormat="1" ht="16.5" customHeight="1" x14ac:dyDescent="0.25">
      <c r="A53" s="84" t="s">
        <v>61</v>
      </c>
      <c r="B53" s="85"/>
      <c r="C53" s="86"/>
      <c r="D53" s="59">
        <v>5000</v>
      </c>
      <c r="E53" s="60"/>
      <c r="F53" s="95">
        <f t="shared" si="2"/>
        <v>5000</v>
      </c>
      <c r="G53" s="113"/>
      <c r="H53" s="40"/>
      <c r="I53" s="122"/>
      <c r="J53" s="123"/>
      <c r="K53" s="124"/>
    </row>
    <row r="54" spans="1:11" s="3" customFormat="1" ht="24.75" customHeight="1" x14ac:dyDescent="0.25">
      <c r="A54" s="84" t="s">
        <v>32</v>
      </c>
      <c r="B54" s="159"/>
      <c r="C54" s="160"/>
      <c r="D54" s="59">
        <v>2400</v>
      </c>
      <c r="E54" s="161"/>
      <c r="F54" s="95">
        <f t="shared" si="2"/>
        <v>2400</v>
      </c>
      <c r="G54" s="113"/>
      <c r="H54" s="40"/>
      <c r="I54" s="122"/>
      <c r="J54" s="123"/>
      <c r="K54" s="124"/>
    </row>
    <row r="55" spans="1:11" s="3" customFormat="1" ht="24.75" customHeight="1" x14ac:dyDescent="0.25">
      <c r="A55" s="84" t="s">
        <v>76</v>
      </c>
      <c r="B55" s="159"/>
      <c r="C55" s="160"/>
      <c r="D55" s="59">
        <f>14*500</f>
        <v>7000</v>
      </c>
      <c r="E55" s="161"/>
      <c r="F55" s="95">
        <f t="shared" si="2"/>
        <v>7000</v>
      </c>
      <c r="G55" s="113"/>
      <c r="H55" s="40"/>
      <c r="I55" s="122"/>
      <c r="J55" s="123"/>
      <c r="K55" s="124"/>
    </row>
    <row r="56" spans="1:11" s="3" customFormat="1" ht="16.5" customHeight="1" x14ac:dyDescent="0.25">
      <c r="A56" s="51" t="s">
        <v>20</v>
      </c>
      <c r="B56" s="52"/>
      <c r="C56" s="53"/>
      <c r="D56" s="149">
        <f>SUM(D57:E69)</f>
        <v>3025399.12</v>
      </c>
      <c r="E56" s="150"/>
      <c r="F56" s="149">
        <f>SUM(F57:G69)</f>
        <v>3304957.4</v>
      </c>
      <c r="G56" s="150"/>
      <c r="H56" s="39">
        <f>SUM(H57:H69)</f>
        <v>279558.28000000003</v>
      </c>
      <c r="I56" s="151"/>
      <c r="J56" s="151"/>
      <c r="K56" s="151"/>
    </row>
    <row r="57" spans="1:11" s="3" customFormat="1" ht="27.75" customHeight="1" x14ac:dyDescent="0.25">
      <c r="A57" s="84" t="s">
        <v>52</v>
      </c>
      <c r="B57" s="85"/>
      <c r="C57" s="86"/>
      <c r="D57" s="87">
        <v>7027.2</v>
      </c>
      <c r="E57" s="88"/>
      <c r="F57" s="87">
        <f t="shared" ref="F57:F78" si="3">D57+H57</f>
        <v>7027.2</v>
      </c>
      <c r="G57" s="89"/>
      <c r="H57" s="43"/>
      <c r="I57" s="90"/>
      <c r="J57" s="91"/>
      <c r="K57" s="92"/>
    </row>
    <row r="58" spans="1:11" s="3" customFormat="1" ht="15.75" customHeight="1" x14ac:dyDescent="0.25">
      <c r="A58" s="84" t="s">
        <v>33</v>
      </c>
      <c r="B58" s="85"/>
      <c r="C58" s="86"/>
      <c r="D58" s="87">
        <v>20685.599999999999</v>
      </c>
      <c r="E58" s="88"/>
      <c r="F58" s="87">
        <f t="shared" si="3"/>
        <v>20685.599999999999</v>
      </c>
      <c r="G58" s="89"/>
      <c r="H58" s="44"/>
      <c r="I58" s="162"/>
      <c r="J58" s="163"/>
      <c r="K58" s="164"/>
    </row>
    <row r="59" spans="1:11" s="3" customFormat="1" ht="63" customHeight="1" x14ac:dyDescent="0.25">
      <c r="A59" s="84" t="s">
        <v>47</v>
      </c>
      <c r="B59" s="85"/>
      <c r="C59" s="86"/>
      <c r="D59" s="87">
        <v>50000</v>
      </c>
      <c r="E59" s="88"/>
      <c r="F59" s="87">
        <f t="shared" si="3"/>
        <v>50000</v>
      </c>
      <c r="G59" s="89"/>
      <c r="H59" s="43"/>
      <c r="I59" s="97"/>
      <c r="J59" s="98"/>
      <c r="K59" s="99"/>
    </row>
    <row r="60" spans="1:11" s="3" customFormat="1" ht="29.25" customHeight="1" x14ac:dyDescent="0.25">
      <c r="A60" s="84" t="s">
        <v>77</v>
      </c>
      <c r="B60" s="85"/>
      <c r="C60" s="86"/>
      <c r="D60" s="87">
        <f>3*10429.44</f>
        <v>31288.32</v>
      </c>
      <c r="E60" s="88"/>
      <c r="F60" s="87">
        <f t="shared" si="3"/>
        <v>31288.32</v>
      </c>
      <c r="G60" s="89"/>
      <c r="H60" s="43"/>
      <c r="I60" s="90"/>
      <c r="J60" s="91"/>
      <c r="K60" s="92"/>
    </row>
    <row r="61" spans="1:11" s="3" customFormat="1" ht="16.5" customHeight="1" x14ac:dyDescent="0.25">
      <c r="A61" s="84" t="s">
        <v>48</v>
      </c>
      <c r="B61" s="85"/>
      <c r="C61" s="86"/>
      <c r="D61" s="87">
        <v>300000</v>
      </c>
      <c r="E61" s="88"/>
      <c r="F61" s="87">
        <f t="shared" si="3"/>
        <v>300000</v>
      </c>
      <c r="G61" s="89"/>
      <c r="H61" s="44"/>
      <c r="I61" s="90"/>
      <c r="J61" s="91"/>
      <c r="K61" s="92"/>
    </row>
    <row r="62" spans="1:11" s="3" customFormat="1" ht="16.5" customHeight="1" x14ac:dyDescent="0.25">
      <c r="A62" s="84" t="s">
        <v>53</v>
      </c>
      <c r="B62" s="85"/>
      <c r="C62" s="86"/>
      <c r="D62" s="87">
        <v>8600</v>
      </c>
      <c r="E62" s="88"/>
      <c r="F62" s="87">
        <f t="shared" si="3"/>
        <v>8600</v>
      </c>
      <c r="G62" s="89"/>
      <c r="H62" s="44"/>
      <c r="I62" s="90"/>
      <c r="J62" s="91"/>
      <c r="K62" s="92"/>
    </row>
    <row r="63" spans="1:11" s="3" customFormat="1" ht="37.5" customHeight="1" x14ac:dyDescent="0.25">
      <c r="A63" s="84" t="s">
        <v>62</v>
      </c>
      <c r="B63" s="85"/>
      <c r="C63" s="86"/>
      <c r="D63" s="87">
        <v>22900</v>
      </c>
      <c r="E63" s="88"/>
      <c r="F63" s="87">
        <f t="shared" si="3"/>
        <v>22900</v>
      </c>
      <c r="G63" s="89"/>
      <c r="H63" s="47"/>
      <c r="I63" s="90"/>
      <c r="J63" s="91"/>
      <c r="K63" s="92"/>
    </row>
    <row r="64" spans="1:11" s="3" customFormat="1" ht="40.5" customHeight="1" x14ac:dyDescent="0.25">
      <c r="A64" s="84" t="s">
        <v>54</v>
      </c>
      <c r="B64" s="85"/>
      <c r="C64" s="86"/>
      <c r="D64" s="87">
        <v>45740</v>
      </c>
      <c r="E64" s="88"/>
      <c r="F64" s="87">
        <f t="shared" si="3"/>
        <v>51050</v>
      </c>
      <c r="G64" s="89"/>
      <c r="H64" s="47">
        <v>5310</v>
      </c>
      <c r="I64" s="90" t="s">
        <v>131</v>
      </c>
      <c r="J64" s="91"/>
      <c r="K64" s="92"/>
    </row>
    <row r="65" spans="1:11" s="3" customFormat="1" ht="38.25" customHeight="1" x14ac:dyDescent="0.25">
      <c r="A65" s="84" t="s">
        <v>78</v>
      </c>
      <c r="B65" s="85"/>
      <c r="C65" s="86"/>
      <c r="D65" s="87">
        <v>17458</v>
      </c>
      <c r="E65" s="88"/>
      <c r="F65" s="87">
        <f t="shared" si="3"/>
        <v>14914.28</v>
      </c>
      <c r="G65" s="89"/>
      <c r="H65" s="47">
        <f>-9433.72+6890</f>
        <v>-2543.7199999999993</v>
      </c>
      <c r="I65" s="90" t="s">
        <v>132</v>
      </c>
      <c r="J65" s="91"/>
      <c r="K65" s="92"/>
    </row>
    <row r="66" spans="1:11" s="3" customFormat="1" ht="54.75" customHeight="1" x14ac:dyDescent="0.25">
      <c r="A66" s="84" t="s">
        <v>55</v>
      </c>
      <c r="B66" s="85"/>
      <c r="C66" s="86"/>
      <c r="D66" s="87">
        <v>25000</v>
      </c>
      <c r="E66" s="88"/>
      <c r="F66" s="87">
        <f t="shared" si="3"/>
        <v>13500</v>
      </c>
      <c r="G66" s="89"/>
      <c r="H66" s="47">
        <v>-11500</v>
      </c>
      <c r="I66" s="90" t="s">
        <v>133</v>
      </c>
      <c r="J66" s="91"/>
      <c r="K66" s="92"/>
    </row>
    <row r="67" spans="1:11" s="3" customFormat="1" ht="39.75" customHeight="1" x14ac:dyDescent="0.25">
      <c r="A67" s="84" t="s">
        <v>56</v>
      </c>
      <c r="B67" s="85"/>
      <c r="C67" s="86"/>
      <c r="D67" s="87">
        <v>21500</v>
      </c>
      <c r="E67" s="88"/>
      <c r="F67" s="87">
        <f t="shared" si="3"/>
        <v>21792</v>
      </c>
      <c r="G67" s="89"/>
      <c r="H67" s="47">
        <v>292</v>
      </c>
      <c r="I67" s="90" t="s">
        <v>131</v>
      </c>
      <c r="J67" s="91"/>
      <c r="K67" s="92"/>
    </row>
    <row r="68" spans="1:11" s="3" customFormat="1" ht="69" customHeight="1" x14ac:dyDescent="0.25">
      <c r="A68" s="84" t="s">
        <v>114</v>
      </c>
      <c r="B68" s="85"/>
      <c r="C68" s="86"/>
      <c r="D68" s="87">
        <v>0</v>
      </c>
      <c r="E68" s="88"/>
      <c r="F68" s="87">
        <f t="shared" ref="F68" si="4">D68+H68</f>
        <v>8000</v>
      </c>
      <c r="G68" s="89"/>
      <c r="H68" s="47">
        <v>8000</v>
      </c>
      <c r="I68" s="90" t="s">
        <v>140</v>
      </c>
      <c r="J68" s="91"/>
      <c r="K68" s="92"/>
    </row>
    <row r="69" spans="1:11" s="3" customFormat="1" ht="51.75" customHeight="1" x14ac:dyDescent="0.25">
      <c r="A69" s="84" t="s">
        <v>142</v>
      </c>
      <c r="B69" s="85"/>
      <c r="C69" s="86"/>
      <c r="D69" s="87">
        <f>56*520*21+56*520*10*5+56*520*7*2</f>
        <v>2475200</v>
      </c>
      <c r="E69" s="88"/>
      <c r="F69" s="87">
        <f t="shared" si="3"/>
        <v>2755200</v>
      </c>
      <c r="G69" s="89"/>
      <c r="H69" s="42">
        <v>280000</v>
      </c>
      <c r="I69" s="90" t="s">
        <v>141</v>
      </c>
      <c r="J69" s="91"/>
      <c r="K69" s="92"/>
    </row>
    <row r="70" spans="1:11" ht="16.5" customHeight="1" x14ac:dyDescent="0.25">
      <c r="A70" s="51" t="s">
        <v>31</v>
      </c>
      <c r="B70" s="52"/>
      <c r="C70" s="53"/>
      <c r="D70" s="54">
        <f>D71</f>
        <v>6720</v>
      </c>
      <c r="E70" s="55"/>
      <c r="F70" s="54">
        <f t="shared" si="3"/>
        <v>5096</v>
      </c>
      <c r="G70" s="55"/>
      <c r="H70" s="39">
        <f>SUM(H71:H71)</f>
        <v>-1624</v>
      </c>
      <c r="I70" s="50"/>
      <c r="J70" s="50"/>
      <c r="K70" s="50"/>
    </row>
    <row r="71" spans="1:11" s="3" customFormat="1" ht="53.25" customHeight="1" x14ac:dyDescent="0.25">
      <c r="A71" s="84" t="s">
        <v>115</v>
      </c>
      <c r="B71" s="85"/>
      <c r="C71" s="86"/>
      <c r="D71" s="95">
        <f>448*15</f>
        <v>6720</v>
      </c>
      <c r="E71" s="112"/>
      <c r="F71" s="95">
        <f t="shared" si="3"/>
        <v>5096</v>
      </c>
      <c r="G71" s="96"/>
      <c r="H71" s="42">
        <v>-1624</v>
      </c>
      <c r="I71" s="90" t="s">
        <v>133</v>
      </c>
      <c r="J71" s="91"/>
      <c r="K71" s="92"/>
    </row>
    <row r="72" spans="1:11" ht="16.5" customHeight="1" x14ac:dyDescent="0.25">
      <c r="A72" s="51" t="s">
        <v>63</v>
      </c>
      <c r="B72" s="52"/>
      <c r="C72" s="53"/>
      <c r="D72" s="54">
        <f>D73</f>
        <v>0</v>
      </c>
      <c r="E72" s="55"/>
      <c r="F72" s="54">
        <f t="shared" si="3"/>
        <v>10300</v>
      </c>
      <c r="G72" s="55"/>
      <c r="H72" s="39">
        <f>SUM(H73:H73)</f>
        <v>10300</v>
      </c>
      <c r="I72" s="50"/>
      <c r="J72" s="50"/>
      <c r="K72" s="50"/>
    </row>
    <row r="73" spans="1:11" s="3" customFormat="1" ht="37.5" customHeight="1" x14ac:dyDescent="0.25">
      <c r="A73" s="84" t="s">
        <v>121</v>
      </c>
      <c r="B73" s="85"/>
      <c r="C73" s="86"/>
      <c r="D73" s="95">
        <v>0</v>
      </c>
      <c r="E73" s="112"/>
      <c r="F73" s="95">
        <f t="shared" si="3"/>
        <v>10300</v>
      </c>
      <c r="G73" s="96"/>
      <c r="H73" s="42">
        <v>10300</v>
      </c>
      <c r="I73" s="90" t="s">
        <v>135</v>
      </c>
      <c r="J73" s="91"/>
      <c r="K73" s="92"/>
    </row>
    <row r="74" spans="1:11" ht="45.75" customHeight="1" x14ac:dyDescent="0.25">
      <c r="A74" s="172" t="s">
        <v>34</v>
      </c>
      <c r="B74" s="179"/>
      <c r="C74" s="180"/>
      <c r="D74" s="100">
        <v>4635</v>
      </c>
      <c r="E74" s="181"/>
      <c r="F74" s="100">
        <f t="shared" si="3"/>
        <v>4635</v>
      </c>
      <c r="G74" s="101"/>
      <c r="H74" s="45"/>
      <c r="I74" s="90"/>
      <c r="J74" s="91"/>
      <c r="K74" s="92"/>
    </row>
    <row r="75" spans="1:11" ht="32.25" customHeight="1" x14ac:dyDescent="0.25">
      <c r="A75" s="172" t="s">
        <v>39</v>
      </c>
      <c r="B75" s="173"/>
      <c r="C75" s="174"/>
      <c r="D75" s="100">
        <f>SUM(D76:E78)</f>
        <v>197620</v>
      </c>
      <c r="E75" s="175"/>
      <c r="F75" s="100">
        <f t="shared" si="3"/>
        <v>197620</v>
      </c>
      <c r="G75" s="101"/>
      <c r="H75" s="45">
        <f>H77</f>
        <v>0</v>
      </c>
      <c r="I75" s="102"/>
      <c r="J75" s="103"/>
      <c r="K75" s="104"/>
    </row>
    <row r="76" spans="1:11" s="3" customFormat="1" ht="25.5" customHeight="1" x14ac:dyDescent="0.25">
      <c r="A76" s="84" t="s">
        <v>83</v>
      </c>
      <c r="B76" s="85"/>
      <c r="C76" s="86"/>
      <c r="D76" s="95">
        <f>4*780</f>
        <v>3120</v>
      </c>
      <c r="E76" s="112"/>
      <c r="F76" s="95">
        <f t="shared" si="3"/>
        <v>3120</v>
      </c>
      <c r="G76" s="113"/>
      <c r="H76" s="41"/>
      <c r="I76" s="97"/>
      <c r="J76" s="98"/>
      <c r="K76" s="99"/>
    </row>
    <row r="77" spans="1:11" s="3" customFormat="1" ht="16.5" customHeight="1" x14ac:dyDescent="0.25">
      <c r="A77" s="84" t="s">
        <v>82</v>
      </c>
      <c r="B77" s="85"/>
      <c r="C77" s="86"/>
      <c r="D77" s="95">
        <f>140*50</f>
        <v>7000</v>
      </c>
      <c r="E77" s="112"/>
      <c r="F77" s="95">
        <f t="shared" si="3"/>
        <v>7000</v>
      </c>
      <c r="G77" s="113"/>
      <c r="H77" s="42"/>
      <c r="I77" s="90"/>
      <c r="J77" s="91"/>
      <c r="K77" s="92"/>
    </row>
    <row r="78" spans="1:11" s="3" customFormat="1" ht="16.5" customHeight="1" x14ac:dyDescent="0.25">
      <c r="A78" s="84" t="s">
        <v>81</v>
      </c>
      <c r="B78" s="85"/>
      <c r="C78" s="86"/>
      <c r="D78" s="95">
        <f>25*7500</f>
        <v>187500</v>
      </c>
      <c r="E78" s="112"/>
      <c r="F78" s="95">
        <f t="shared" si="3"/>
        <v>187500</v>
      </c>
      <c r="G78" s="113"/>
      <c r="H78" s="42"/>
      <c r="I78" s="182"/>
      <c r="J78" s="183"/>
      <c r="K78" s="184"/>
    </row>
    <row r="79" spans="1:11" ht="27" customHeight="1" x14ac:dyDescent="0.25">
      <c r="A79" s="172" t="s">
        <v>38</v>
      </c>
      <c r="B79" s="179"/>
      <c r="C79" s="180"/>
      <c r="D79" s="54">
        <f>SUM(D80:E82)</f>
        <v>13800</v>
      </c>
      <c r="E79" s="55"/>
      <c r="F79" s="54">
        <f>SUM(F80:G82)</f>
        <v>13800</v>
      </c>
      <c r="G79" s="55"/>
      <c r="H79" s="45"/>
      <c r="I79" s="90"/>
      <c r="J79" s="91"/>
      <c r="K79" s="92"/>
    </row>
    <row r="80" spans="1:11" s="3" customFormat="1" ht="16.5" customHeight="1" x14ac:dyDescent="0.25">
      <c r="A80" s="84" t="s">
        <v>84</v>
      </c>
      <c r="B80" s="85"/>
      <c r="C80" s="86"/>
      <c r="D80" s="95">
        <f>4*2150</f>
        <v>8600</v>
      </c>
      <c r="E80" s="112"/>
      <c r="F80" s="95">
        <f>D80+H80</f>
        <v>8600</v>
      </c>
      <c r="G80" s="113"/>
      <c r="H80" s="42"/>
      <c r="I80" s="90"/>
      <c r="J80" s="91"/>
      <c r="K80" s="92"/>
    </row>
    <row r="81" spans="1:11" s="3" customFormat="1" ht="16.5" customHeight="1" x14ac:dyDescent="0.25">
      <c r="A81" s="84" t="s">
        <v>85</v>
      </c>
      <c r="B81" s="85"/>
      <c r="C81" s="86"/>
      <c r="D81" s="95">
        <f>30*120</f>
        <v>3600</v>
      </c>
      <c r="E81" s="112"/>
      <c r="F81" s="95">
        <f>D81+H81</f>
        <v>3600</v>
      </c>
      <c r="G81" s="113"/>
      <c r="H81" s="42"/>
      <c r="I81" s="90"/>
      <c r="J81" s="91"/>
      <c r="K81" s="92"/>
    </row>
    <row r="82" spans="1:11" s="3" customFormat="1" ht="16.5" customHeight="1" x14ac:dyDescent="0.25">
      <c r="A82" s="84" t="s">
        <v>103</v>
      </c>
      <c r="B82" s="85"/>
      <c r="C82" s="86"/>
      <c r="D82" s="95">
        <v>1600</v>
      </c>
      <c r="E82" s="112"/>
      <c r="F82" s="95">
        <f>D82+H82</f>
        <v>1600</v>
      </c>
      <c r="G82" s="113"/>
      <c r="H82" s="42"/>
      <c r="I82" s="90"/>
      <c r="J82" s="91"/>
      <c r="K82" s="92"/>
    </row>
    <row r="83" spans="1:11" ht="30.75" customHeight="1" x14ac:dyDescent="0.25">
      <c r="A83" s="172" t="s">
        <v>35</v>
      </c>
      <c r="B83" s="179"/>
      <c r="C83" s="180"/>
      <c r="D83" s="54">
        <f>SUM(D84:E85)</f>
        <v>79125.61</v>
      </c>
      <c r="E83" s="55"/>
      <c r="F83" s="54">
        <f>D83+H83</f>
        <v>27631.14</v>
      </c>
      <c r="G83" s="55"/>
      <c r="H83" s="45">
        <f>H84+H85</f>
        <v>-51494.47</v>
      </c>
      <c r="I83" s="90"/>
      <c r="J83" s="91"/>
      <c r="K83" s="92"/>
    </row>
    <row r="84" spans="1:11" s="3" customFormat="1" ht="95.25" customHeight="1" x14ac:dyDescent="0.25">
      <c r="A84" s="84" t="s">
        <v>86</v>
      </c>
      <c r="B84" s="85"/>
      <c r="C84" s="86"/>
      <c r="D84" s="95">
        <f>10276.3+23799.31</f>
        <v>34075.61</v>
      </c>
      <c r="E84" s="112"/>
      <c r="F84" s="95">
        <f>D84+H84</f>
        <v>23081.14</v>
      </c>
      <c r="G84" s="113"/>
      <c r="H84" s="47">
        <v>-10994.47</v>
      </c>
      <c r="I84" s="90" t="s">
        <v>146</v>
      </c>
      <c r="J84" s="91"/>
      <c r="K84" s="92"/>
    </row>
    <row r="85" spans="1:11" s="3" customFormat="1" ht="104.25" customHeight="1" x14ac:dyDescent="0.25">
      <c r="A85" s="84" t="s">
        <v>92</v>
      </c>
      <c r="B85" s="85"/>
      <c r="C85" s="86"/>
      <c r="D85" s="95">
        <f>4550+40500</f>
        <v>45050</v>
      </c>
      <c r="E85" s="112"/>
      <c r="F85" s="95">
        <f t="shared" ref="F85:F92" si="5">D85+H85</f>
        <v>4550</v>
      </c>
      <c r="G85" s="113"/>
      <c r="H85" s="47">
        <v>-40500</v>
      </c>
      <c r="I85" s="90" t="s">
        <v>146</v>
      </c>
      <c r="J85" s="91"/>
      <c r="K85" s="92"/>
    </row>
    <row r="86" spans="1:11" s="30" customFormat="1" ht="33" customHeight="1" x14ac:dyDescent="0.25">
      <c r="A86" s="105" t="s">
        <v>40</v>
      </c>
      <c r="B86" s="106"/>
      <c r="C86" s="107"/>
      <c r="D86" s="108">
        <f>SUM(D87:E92)</f>
        <v>62770</v>
      </c>
      <c r="E86" s="109"/>
      <c r="F86" s="108">
        <f t="shared" si="5"/>
        <v>43040.66</v>
      </c>
      <c r="G86" s="109"/>
      <c r="H86" s="42">
        <f>SUM(H87:H92)</f>
        <v>-19729.34</v>
      </c>
      <c r="I86" s="61"/>
      <c r="J86" s="110"/>
      <c r="K86" s="111"/>
    </row>
    <row r="87" spans="1:11" s="30" customFormat="1" ht="16.5" customHeight="1" x14ac:dyDescent="0.25">
      <c r="A87" s="67" t="s">
        <v>116</v>
      </c>
      <c r="B87" s="68"/>
      <c r="C87" s="69"/>
      <c r="D87" s="59">
        <v>11200</v>
      </c>
      <c r="E87" s="60"/>
      <c r="F87" s="59">
        <f t="shared" si="5"/>
        <v>8400</v>
      </c>
      <c r="G87" s="60"/>
      <c r="H87" s="42">
        <v>-2800</v>
      </c>
      <c r="I87" s="206" t="s">
        <v>134</v>
      </c>
      <c r="J87" s="207"/>
      <c r="K87" s="208"/>
    </row>
    <row r="88" spans="1:11" s="30" customFormat="1" ht="16.5" customHeight="1" x14ac:dyDescent="0.25">
      <c r="A88" s="67" t="s">
        <v>117</v>
      </c>
      <c r="B88" s="93"/>
      <c r="C88" s="94"/>
      <c r="D88" s="59">
        <v>13440</v>
      </c>
      <c r="E88" s="60"/>
      <c r="F88" s="59">
        <f t="shared" si="5"/>
        <v>10080</v>
      </c>
      <c r="G88" s="60"/>
      <c r="H88" s="42">
        <v>-3360</v>
      </c>
      <c r="I88" s="209"/>
      <c r="J88" s="210"/>
      <c r="K88" s="211"/>
    </row>
    <row r="89" spans="1:11" s="30" customFormat="1" ht="16.5" customHeight="1" x14ac:dyDescent="0.25">
      <c r="A89" s="67" t="s">
        <v>118</v>
      </c>
      <c r="B89" s="68"/>
      <c r="C89" s="69"/>
      <c r="D89" s="59">
        <v>17920</v>
      </c>
      <c r="E89" s="60"/>
      <c r="F89" s="59">
        <f t="shared" si="5"/>
        <v>13440</v>
      </c>
      <c r="G89" s="60"/>
      <c r="H89" s="42">
        <v>-4480</v>
      </c>
      <c r="I89" s="209"/>
      <c r="J89" s="210"/>
      <c r="K89" s="211"/>
    </row>
    <row r="90" spans="1:11" s="30" customFormat="1" ht="16.5" customHeight="1" x14ac:dyDescent="0.25">
      <c r="A90" s="67" t="s">
        <v>119</v>
      </c>
      <c r="B90" s="68"/>
      <c r="C90" s="69"/>
      <c r="D90" s="59">
        <v>8960</v>
      </c>
      <c r="E90" s="60"/>
      <c r="F90" s="59">
        <f t="shared" si="5"/>
        <v>6720</v>
      </c>
      <c r="G90" s="60"/>
      <c r="H90" s="42">
        <v>-2240</v>
      </c>
      <c r="I90" s="209"/>
      <c r="J90" s="210"/>
      <c r="K90" s="211"/>
    </row>
    <row r="91" spans="1:11" s="30" customFormat="1" ht="16.5" customHeight="1" x14ac:dyDescent="0.25">
      <c r="A91" s="67" t="s">
        <v>91</v>
      </c>
      <c r="B91" s="68"/>
      <c r="C91" s="69"/>
      <c r="D91" s="59">
        <v>750</v>
      </c>
      <c r="E91" s="60"/>
      <c r="F91" s="59">
        <f t="shared" si="5"/>
        <v>800.66</v>
      </c>
      <c r="G91" s="60"/>
      <c r="H91" s="42">
        <v>50.66</v>
      </c>
      <c r="I91" s="209"/>
      <c r="J91" s="210"/>
      <c r="K91" s="211"/>
    </row>
    <row r="92" spans="1:11" s="30" customFormat="1" ht="16.5" customHeight="1" x14ac:dyDescent="0.25">
      <c r="A92" s="67" t="s">
        <v>120</v>
      </c>
      <c r="B92" s="68"/>
      <c r="C92" s="69"/>
      <c r="D92" s="59">
        <v>10500</v>
      </c>
      <c r="E92" s="60"/>
      <c r="F92" s="59">
        <f t="shared" si="5"/>
        <v>3600</v>
      </c>
      <c r="G92" s="60"/>
      <c r="H92" s="42">
        <v>-6900</v>
      </c>
      <c r="I92" s="212"/>
      <c r="J92" s="213"/>
      <c r="K92" s="214"/>
    </row>
    <row r="93" spans="1:11" s="3" customFormat="1" x14ac:dyDescent="0.25">
      <c r="A93" s="64" t="s">
        <v>11</v>
      </c>
      <c r="B93" s="64"/>
      <c r="C93" s="64"/>
      <c r="D93" s="65">
        <f>D33+D34+D35+D40+D44+D56+D70+D74+D75+D79+D83+D86</f>
        <v>9940090</v>
      </c>
      <c r="E93" s="66"/>
      <c r="F93" s="65">
        <f>F33+F34+F35+F40+F44+F56+F70+F72+F74+F75+F79+F83+F86</f>
        <v>9945281.0000000019</v>
      </c>
      <c r="G93" s="66"/>
      <c r="H93" s="38">
        <f>H33+H34+H35+H40+H44+H56+H70+H72+H74+H75+H79+H83+H86</f>
        <v>5191.0000000000546</v>
      </c>
      <c r="I93" s="50"/>
      <c r="J93" s="50"/>
      <c r="K93" s="50"/>
    </row>
    <row r="94" spans="1:11" s="3" customFormat="1" x14ac:dyDescent="0.25">
      <c r="A94" s="8"/>
      <c r="B94" s="8"/>
      <c r="C94" s="8"/>
      <c r="D94" s="9"/>
      <c r="E94" s="9"/>
      <c r="F94" s="9"/>
      <c r="G94" s="9"/>
      <c r="H94" s="9"/>
    </row>
    <row r="95" spans="1:11" ht="16.5" customHeight="1" x14ac:dyDescent="0.25">
      <c r="A95" s="76" t="s">
        <v>49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</row>
    <row r="97" spans="1:11" x14ac:dyDescent="0.25">
      <c r="A97" s="50"/>
      <c r="B97" s="50"/>
      <c r="C97" s="50"/>
      <c r="D97" s="71" t="s">
        <v>5</v>
      </c>
      <c r="E97" s="71"/>
      <c r="F97" s="71" t="s">
        <v>6</v>
      </c>
      <c r="G97" s="71"/>
      <c r="H97" s="24" t="s">
        <v>14</v>
      </c>
      <c r="I97" s="72" t="s">
        <v>13</v>
      </c>
      <c r="J97" s="73"/>
      <c r="K97" s="74"/>
    </row>
    <row r="98" spans="1:11" ht="18" customHeight="1" x14ac:dyDescent="0.25">
      <c r="A98" s="121" t="s">
        <v>15</v>
      </c>
      <c r="B98" s="121"/>
      <c r="C98" s="121"/>
      <c r="D98" s="54">
        <v>443913.4</v>
      </c>
      <c r="E98" s="55"/>
      <c r="F98" s="54">
        <f>D98+H98</f>
        <v>366885.77</v>
      </c>
      <c r="G98" s="55"/>
      <c r="H98" s="45">
        <v>-77027.63</v>
      </c>
      <c r="I98" s="206" t="s">
        <v>136</v>
      </c>
      <c r="J98" s="207"/>
      <c r="K98" s="208"/>
    </row>
    <row r="99" spans="1:11" ht="18" customHeight="1" x14ac:dyDescent="0.25">
      <c r="A99" s="51" t="s">
        <v>16</v>
      </c>
      <c r="B99" s="52"/>
      <c r="C99" s="53"/>
      <c r="D99" s="54">
        <v>134061.85</v>
      </c>
      <c r="E99" s="55"/>
      <c r="F99" s="54">
        <f>D99+H99</f>
        <v>110799.5</v>
      </c>
      <c r="G99" s="55"/>
      <c r="H99" s="45">
        <v>-23262.35</v>
      </c>
      <c r="I99" s="215"/>
      <c r="J99" s="216"/>
      <c r="K99" s="217"/>
    </row>
    <row r="100" spans="1:11" ht="18" customHeight="1" x14ac:dyDescent="0.25">
      <c r="A100" s="51" t="s">
        <v>25</v>
      </c>
      <c r="B100" s="52"/>
      <c r="C100" s="53"/>
      <c r="D100" s="54">
        <f>SUM(D101:E102)</f>
        <v>31586.75</v>
      </c>
      <c r="E100" s="187"/>
      <c r="F100" s="54">
        <f t="shared" ref="F100" si="6">D100+H100</f>
        <v>31253.48</v>
      </c>
      <c r="G100" s="187"/>
      <c r="H100" s="39">
        <f>SUM(H101:H101)</f>
        <v>-333.27</v>
      </c>
      <c r="I100" s="97"/>
      <c r="J100" s="98"/>
      <c r="K100" s="99"/>
    </row>
    <row r="101" spans="1:11" ht="51.75" customHeight="1" x14ac:dyDescent="0.25">
      <c r="A101" s="84" t="s">
        <v>46</v>
      </c>
      <c r="B101" s="85"/>
      <c r="C101" s="86"/>
      <c r="D101" s="95">
        <v>29706.15</v>
      </c>
      <c r="E101" s="112"/>
      <c r="F101" s="95">
        <f>D101+H101</f>
        <v>29372.880000000001</v>
      </c>
      <c r="G101" s="112"/>
      <c r="H101" s="42">
        <v>-333.27</v>
      </c>
      <c r="I101" s="90" t="s">
        <v>137</v>
      </c>
      <c r="J101" s="91"/>
      <c r="K101" s="92"/>
    </row>
    <row r="102" spans="1:11" ht="16.5" customHeight="1" x14ac:dyDescent="0.25">
      <c r="A102" s="84" t="s">
        <v>24</v>
      </c>
      <c r="B102" s="85"/>
      <c r="C102" s="86"/>
      <c r="D102" s="95">
        <f>1880.34+0.26</f>
        <v>1880.6</v>
      </c>
      <c r="E102" s="112"/>
      <c r="F102" s="95">
        <f>D102+H102</f>
        <v>1880.6</v>
      </c>
      <c r="G102" s="112"/>
      <c r="H102" s="42"/>
      <c r="I102" s="90"/>
      <c r="J102" s="91"/>
      <c r="K102" s="92"/>
    </row>
    <row r="103" spans="1:11" ht="17.25" customHeight="1" x14ac:dyDescent="0.25">
      <c r="A103" s="51" t="s">
        <v>26</v>
      </c>
      <c r="B103" s="52"/>
      <c r="C103" s="53"/>
      <c r="D103" s="54">
        <v>60000</v>
      </c>
      <c r="E103" s="55"/>
      <c r="F103" s="54">
        <f>D103+H103</f>
        <v>35000</v>
      </c>
      <c r="G103" s="55"/>
      <c r="H103" s="45">
        <v>-25000</v>
      </c>
      <c r="I103" s="90"/>
      <c r="J103" s="91"/>
      <c r="K103" s="92"/>
    </row>
    <row r="104" spans="1:11" s="3" customFormat="1" ht="16.5" customHeight="1" x14ac:dyDescent="0.25">
      <c r="A104" s="51" t="s">
        <v>17</v>
      </c>
      <c r="B104" s="52"/>
      <c r="C104" s="53"/>
      <c r="D104" s="149">
        <f>D105</f>
        <v>0</v>
      </c>
      <c r="E104" s="150"/>
      <c r="F104" s="149">
        <f>H104+D104</f>
        <v>79275</v>
      </c>
      <c r="G104" s="150"/>
      <c r="H104" s="39">
        <f>H105</f>
        <v>79275</v>
      </c>
      <c r="I104" s="151"/>
      <c r="J104" s="151"/>
      <c r="K104" s="151"/>
    </row>
    <row r="105" spans="1:11" s="3" customFormat="1" ht="56.25" customHeight="1" x14ac:dyDescent="0.25">
      <c r="A105" s="67" t="s">
        <v>126</v>
      </c>
      <c r="B105" s="68"/>
      <c r="C105" s="69"/>
      <c r="D105" s="95">
        <v>0</v>
      </c>
      <c r="E105" s="112"/>
      <c r="F105" s="95">
        <f>H105+D105</f>
        <v>79275</v>
      </c>
      <c r="G105" s="113"/>
      <c r="H105" s="49">
        <f>10500*7.55</f>
        <v>79275</v>
      </c>
      <c r="I105" s="90" t="s">
        <v>144</v>
      </c>
      <c r="J105" s="91"/>
      <c r="K105" s="92"/>
    </row>
    <row r="106" spans="1:11" ht="16.5" customHeight="1" x14ac:dyDescent="0.25">
      <c r="A106" s="51" t="s">
        <v>20</v>
      </c>
      <c r="B106" s="52"/>
      <c r="C106" s="53"/>
      <c r="D106" s="54">
        <f>SUM(D107:E108)</f>
        <v>152000</v>
      </c>
      <c r="E106" s="55"/>
      <c r="F106" s="54">
        <f t="shared" ref="F106:F112" si="7">D106+H106</f>
        <v>180000</v>
      </c>
      <c r="G106" s="55"/>
      <c r="H106" s="39">
        <f>SUM(H107:H107)</f>
        <v>28000</v>
      </c>
      <c r="I106" s="50"/>
      <c r="J106" s="50"/>
      <c r="K106" s="50"/>
    </row>
    <row r="107" spans="1:11" s="3" customFormat="1" ht="36.75" customHeight="1" x14ac:dyDescent="0.25">
      <c r="A107" s="84" t="s">
        <v>93</v>
      </c>
      <c r="B107" s="85"/>
      <c r="C107" s="86"/>
      <c r="D107" s="95">
        <f>400*350</f>
        <v>140000</v>
      </c>
      <c r="E107" s="112"/>
      <c r="F107" s="95">
        <f t="shared" si="7"/>
        <v>168000</v>
      </c>
      <c r="G107" s="96"/>
      <c r="H107" s="42">
        <v>28000</v>
      </c>
      <c r="I107" s="90" t="s">
        <v>131</v>
      </c>
      <c r="J107" s="91"/>
      <c r="K107" s="92"/>
    </row>
    <row r="108" spans="1:11" s="3" customFormat="1" ht="16.5" customHeight="1" x14ac:dyDescent="0.25">
      <c r="A108" s="84" t="s">
        <v>104</v>
      </c>
      <c r="B108" s="85"/>
      <c r="C108" s="86"/>
      <c r="D108" s="95">
        <v>12000</v>
      </c>
      <c r="E108" s="112"/>
      <c r="F108" s="95">
        <f t="shared" si="7"/>
        <v>12000</v>
      </c>
      <c r="G108" s="96"/>
      <c r="H108" s="46"/>
      <c r="I108" s="97"/>
      <c r="J108" s="98"/>
      <c r="K108" s="99"/>
    </row>
    <row r="109" spans="1:11" ht="16.5" customHeight="1" x14ac:dyDescent="0.25">
      <c r="A109" s="51" t="s">
        <v>63</v>
      </c>
      <c r="B109" s="52"/>
      <c r="C109" s="53"/>
      <c r="D109" s="54">
        <f>D110</f>
        <v>18643</v>
      </c>
      <c r="E109" s="55"/>
      <c r="F109" s="54">
        <f t="shared" si="7"/>
        <v>0</v>
      </c>
      <c r="G109" s="55"/>
      <c r="H109" s="39">
        <f>SUM(H110:H110)</f>
        <v>-18643</v>
      </c>
      <c r="I109" s="50"/>
      <c r="J109" s="50"/>
      <c r="K109" s="50"/>
    </row>
    <row r="110" spans="1:11" s="3" customFormat="1" ht="51" customHeight="1" x14ac:dyDescent="0.25">
      <c r="A110" s="84" t="s">
        <v>105</v>
      </c>
      <c r="B110" s="85"/>
      <c r="C110" s="86"/>
      <c r="D110" s="95">
        <v>18643</v>
      </c>
      <c r="E110" s="112"/>
      <c r="F110" s="95">
        <f t="shared" si="7"/>
        <v>0</v>
      </c>
      <c r="G110" s="96"/>
      <c r="H110" s="42">
        <v>-18643</v>
      </c>
      <c r="I110" s="90" t="s">
        <v>143</v>
      </c>
      <c r="J110" s="91"/>
      <c r="K110" s="92"/>
    </row>
    <row r="111" spans="1:11" ht="32.25" customHeight="1" x14ac:dyDescent="0.25">
      <c r="A111" s="172" t="s">
        <v>39</v>
      </c>
      <c r="B111" s="173"/>
      <c r="C111" s="174"/>
      <c r="D111" s="100">
        <f>D112</f>
        <v>150000</v>
      </c>
      <c r="E111" s="175"/>
      <c r="F111" s="100">
        <f t="shared" si="7"/>
        <v>175890.91</v>
      </c>
      <c r="G111" s="101"/>
      <c r="H111" s="45">
        <f>H114</f>
        <v>25890.91</v>
      </c>
      <c r="I111" s="102"/>
      <c r="J111" s="103"/>
      <c r="K111" s="104"/>
    </row>
    <row r="112" spans="1:11" s="3" customFormat="1" ht="16.5" customHeight="1" x14ac:dyDescent="0.25">
      <c r="A112" s="84" t="s">
        <v>94</v>
      </c>
      <c r="B112" s="85"/>
      <c r="C112" s="86"/>
      <c r="D112" s="95">
        <f>20*7500</f>
        <v>150000</v>
      </c>
      <c r="E112" s="112"/>
      <c r="F112" s="95">
        <f t="shared" si="7"/>
        <v>150000</v>
      </c>
      <c r="G112" s="113"/>
      <c r="H112" s="41"/>
      <c r="I112" s="97"/>
      <c r="J112" s="98"/>
      <c r="K112" s="99"/>
    </row>
    <row r="113" spans="1:11" ht="34.5" customHeight="1" x14ac:dyDescent="0.25">
      <c r="A113" s="172" t="s">
        <v>35</v>
      </c>
      <c r="B113" s="179"/>
      <c r="C113" s="180"/>
      <c r="D113" s="54">
        <f>D114</f>
        <v>0</v>
      </c>
      <c r="E113" s="55"/>
      <c r="F113" s="54">
        <f>F114</f>
        <v>25890.91</v>
      </c>
      <c r="G113" s="55"/>
      <c r="H113" s="45">
        <f>H114</f>
        <v>25890.91</v>
      </c>
      <c r="I113" s="90"/>
      <c r="J113" s="91"/>
      <c r="K113" s="92"/>
    </row>
    <row r="114" spans="1:11" s="3" customFormat="1" ht="76.5" customHeight="1" x14ac:dyDescent="0.25">
      <c r="A114" s="67" t="s">
        <v>122</v>
      </c>
      <c r="B114" s="68"/>
      <c r="C114" s="69"/>
      <c r="D114" s="95">
        <v>0</v>
      </c>
      <c r="E114" s="112"/>
      <c r="F114" s="95">
        <f>D114+H114</f>
        <v>25890.91</v>
      </c>
      <c r="G114" s="113"/>
      <c r="H114" s="42">
        <v>25890.91</v>
      </c>
      <c r="I114" s="90" t="s">
        <v>147</v>
      </c>
      <c r="J114" s="91"/>
      <c r="K114" s="92"/>
    </row>
    <row r="115" spans="1:11" x14ac:dyDescent="0.25">
      <c r="A115" s="64" t="s">
        <v>11</v>
      </c>
      <c r="B115" s="64"/>
      <c r="C115" s="64"/>
      <c r="D115" s="65">
        <f>D98+D99+D100+D103+D106+D109+D111</f>
        <v>990205</v>
      </c>
      <c r="E115" s="66"/>
      <c r="F115" s="65">
        <f>F98+F99+F100+F103+F104+F106+F109+F111</f>
        <v>979104.66</v>
      </c>
      <c r="G115" s="66"/>
      <c r="H115" s="38">
        <f>H98+H99+H100+H103+H104+H106+H109+H111</f>
        <v>-11100.340000000015</v>
      </c>
      <c r="I115" s="50"/>
      <c r="J115" s="50"/>
      <c r="K115" s="50"/>
    </row>
    <row r="116" spans="1:11" ht="12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1:11" x14ac:dyDescent="0.25">
      <c r="A117" s="75" t="s">
        <v>50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</row>
    <row r="118" spans="1:11" ht="8.25" customHeight="1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</row>
    <row r="119" spans="1:11" x14ac:dyDescent="0.25">
      <c r="A119" s="50"/>
      <c r="B119" s="50"/>
      <c r="C119" s="50"/>
      <c r="D119" s="71" t="s">
        <v>5</v>
      </c>
      <c r="E119" s="71"/>
      <c r="F119" s="71" t="s">
        <v>6</v>
      </c>
      <c r="G119" s="71"/>
      <c r="H119" s="24" t="s">
        <v>14</v>
      </c>
      <c r="I119" s="72" t="s">
        <v>13</v>
      </c>
      <c r="J119" s="73"/>
      <c r="K119" s="74"/>
    </row>
    <row r="120" spans="1:11" ht="18.75" customHeight="1" x14ac:dyDescent="0.25">
      <c r="A120" s="51" t="s">
        <v>19</v>
      </c>
      <c r="B120" s="52"/>
      <c r="C120" s="53"/>
      <c r="D120" s="54">
        <f>SUM(D121:E123)</f>
        <v>1340730</v>
      </c>
      <c r="E120" s="55"/>
      <c r="F120" s="54">
        <f>SUM(F121:G123)</f>
        <v>1340730</v>
      </c>
      <c r="G120" s="55"/>
      <c r="H120" s="13"/>
      <c r="I120" s="56"/>
      <c r="J120" s="57"/>
      <c r="K120" s="58"/>
    </row>
    <row r="121" spans="1:11" ht="30" customHeight="1" x14ac:dyDescent="0.25">
      <c r="A121" s="84" t="s">
        <v>95</v>
      </c>
      <c r="B121" s="152"/>
      <c r="C121" s="153"/>
      <c r="D121" s="95">
        <v>208263.4</v>
      </c>
      <c r="E121" s="113"/>
      <c r="F121" s="95">
        <f t="shared" ref="F121" si="8">D121+H121</f>
        <v>208263.4</v>
      </c>
      <c r="G121" s="113"/>
      <c r="H121" s="15"/>
      <c r="I121" s="167"/>
      <c r="J121" s="168"/>
      <c r="K121" s="169"/>
    </row>
    <row r="122" spans="1:11" ht="30" customHeight="1" x14ac:dyDescent="0.25">
      <c r="A122" s="84" t="s">
        <v>96</v>
      </c>
      <c r="B122" s="170"/>
      <c r="C122" s="171"/>
      <c r="D122" s="95">
        <v>99743</v>
      </c>
      <c r="E122" s="112"/>
      <c r="F122" s="95">
        <f>D122+H122</f>
        <v>99743</v>
      </c>
      <c r="G122" s="112"/>
      <c r="H122" s="15"/>
      <c r="I122" s="56"/>
      <c r="J122" s="57"/>
      <c r="K122" s="58"/>
    </row>
    <row r="123" spans="1:11" ht="21" customHeight="1" x14ac:dyDescent="0.25">
      <c r="A123" s="84" t="s">
        <v>106</v>
      </c>
      <c r="B123" s="170"/>
      <c r="C123" s="171"/>
      <c r="D123" s="95">
        <f>537000+495723.6</f>
        <v>1032723.6</v>
      </c>
      <c r="E123" s="112"/>
      <c r="F123" s="95">
        <f>D123+H123</f>
        <v>1032723.6</v>
      </c>
      <c r="G123" s="112"/>
      <c r="H123" s="15"/>
      <c r="I123" s="56"/>
      <c r="J123" s="57"/>
      <c r="K123" s="58"/>
    </row>
    <row r="124" spans="1:11" x14ac:dyDescent="0.25">
      <c r="A124" s="64" t="s">
        <v>11</v>
      </c>
      <c r="B124" s="64"/>
      <c r="C124" s="64"/>
      <c r="D124" s="65">
        <f>D120</f>
        <v>1340730</v>
      </c>
      <c r="E124" s="66"/>
      <c r="F124" s="65">
        <f>F120</f>
        <v>1340730</v>
      </c>
      <c r="G124" s="66"/>
      <c r="H124" s="28"/>
      <c r="I124" s="50"/>
      <c r="J124" s="50"/>
      <c r="K124" s="50"/>
    </row>
    <row r="125" spans="1:11" ht="45" customHeight="1" x14ac:dyDescent="0.25">
      <c r="A125" s="166" t="s">
        <v>27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</row>
    <row r="126" spans="1:11" ht="30.75" customHeight="1" x14ac:dyDescent="0.25">
      <c r="A126" s="166" t="s">
        <v>97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</row>
    <row r="127" spans="1:11" ht="20.2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 ht="65.25" customHeight="1" x14ac:dyDescent="0.25">
      <c r="A128" s="146" t="s">
        <v>98</v>
      </c>
      <c r="B128" s="147"/>
      <c r="C128" s="147"/>
      <c r="D128" s="147"/>
      <c r="E128" s="147"/>
      <c r="F128" s="147"/>
      <c r="G128" s="147"/>
      <c r="H128" s="147"/>
      <c r="I128" s="147"/>
      <c r="J128" s="148"/>
    </row>
    <row r="129" spans="1:11" ht="41.25" customHeight="1" x14ac:dyDescent="0.25">
      <c r="A129" s="166" t="s">
        <v>27</v>
      </c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</row>
    <row r="130" spans="1:11" ht="20.25" customHeight="1" x14ac:dyDescent="0.25">
      <c r="A130" s="166" t="s">
        <v>99</v>
      </c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</row>
    <row r="131" spans="1:11" ht="20.2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1:11" ht="65.25" customHeight="1" x14ac:dyDescent="0.25">
      <c r="A132" s="129" t="s">
        <v>129</v>
      </c>
      <c r="B132" s="218"/>
      <c r="C132" s="218"/>
      <c r="D132" s="218"/>
      <c r="E132" s="218"/>
      <c r="F132" s="218"/>
      <c r="G132" s="218"/>
      <c r="H132" s="218"/>
      <c r="I132" s="218"/>
      <c r="J132" s="218"/>
      <c r="K132" s="19"/>
    </row>
    <row r="133" spans="1:11" ht="41.25" customHeight="1" x14ac:dyDescent="0.25">
      <c r="A133" s="219" t="s">
        <v>27</v>
      </c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</row>
    <row r="134" spans="1:11" ht="20.25" customHeight="1" x14ac:dyDescent="0.25">
      <c r="A134" s="220" t="s">
        <v>130</v>
      </c>
      <c r="B134" s="221"/>
      <c r="C134" s="221"/>
      <c r="D134" s="221"/>
      <c r="E134" s="221"/>
      <c r="F134" s="221"/>
      <c r="G134" s="221"/>
      <c r="H134" s="221"/>
      <c r="I134" s="221"/>
      <c r="J134" s="221"/>
      <c r="K134" s="25"/>
    </row>
    <row r="135" spans="1:11" ht="20.2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1:11" ht="15" customHeight="1" x14ac:dyDescent="0.25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</row>
    <row r="137" spans="1:11" ht="134.25" customHeight="1" x14ac:dyDescent="0.25">
      <c r="A137" s="189" t="s">
        <v>28</v>
      </c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</row>
    <row r="138" spans="1:11" x14ac:dyDescent="0.25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</row>
    <row r="139" spans="1:11" x14ac:dyDescent="0.2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</row>
    <row r="140" spans="1:11" x14ac:dyDescent="0.25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</row>
    <row r="141" spans="1:11" x14ac:dyDescent="0.25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</row>
    <row r="142" spans="1:11" x14ac:dyDescent="0.2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</row>
    <row r="143" spans="1:11" x14ac:dyDescent="0.2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</row>
    <row r="144" spans="1:11" x14ac:dyDescent="0.25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</row>
    <row r="145" spans="1:11" x14ac:dyDescent="0.2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</row>
    <row r="146" spans="1:11" x14ac:dyDescent="0.25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</row>
  </sheetData>
  <mergeCells count="406">
    <mergeCell ref="A132:J132"/>
    <mergeCell ref="A133:K133"/>
    <mergeCell ref="A134:J134"/>
    <mergeCell ref="A142:K142"/>
    <mergeCell ref="A143:K143"/>
    <mergeCell ref="A144:K144"/>
    <mergeCell ref="A145:K145"/>
    <mergeCell ref="A146:K146"/>
    <mergeCell ref="I33:K34"/>
    <mergeCell ref="A68:C68"/>
    <mergeCell ref="D68:E68"/>
    <mergeCell ref="F68:G68"/>
    <mergeCell ref="I68:K68"/>
    <mergeCell ref="A136:K136"/>
    <mergeCell ref="A137:K137"/>
    <mergeCell ref="A138:K138"/>
    <mergeCell ref="A139:K139"/>
    <mergeCell ref="A140:K140"/>
    <mergeCell ref="A141:K141"/>
    <mergeCell ref="A128:J128"/>
    <mergeCell ref="A129:K129"/>
    <mergeCell ref="A130:K130"/>
    <mergeCell ref="A124:C124"/>
    <mergeCell ref="D124:E124"/>
    <mergeCell ref="F124:G124"/>
    <mergeCell ref="I124:K124"/>
    <mergeCell ref="A125:K125"/>
    <mergeCell ref="A126:K126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7:K117"/>
    <mergeCell ref="A118:K118"/>
    <mergeCell ref="A119:C119"/>
    <mergeCell ref="D119:E119"/>
    <mergeCell ref="F119:G119"/>
    <mergeCell ref="I119:K119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4:C114"/>
    <mergeCell ref="D114:E114"/>
    <mergeCell ref="F114:G114"/>
    <mergeCell ref="I114:K114"/>
    <mergeCell ref="A113:C113"/>
    <mergeCell ref="D113:E113"/>
    <mergeCell ref="F113:G113"/>
    <mergeCell ref="I113:K113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11:C111"/>
    <mergeCell ref="D111:E111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A99:C99"/>
    <mergeCell ref="D99:E99"/>
    <mergeCell ref="F99:G99"/>
    <mergeCell ref="I98:K99"/>
    <mergeCell ref="A93:C93"/>
    <mergeCell ref="D93:E93"/>
    <mergeCell ref="F93:G93"/>
    <mergeCell ref="I93:K93"/>
    <mergeCell ref="A95:K95"/>
    <mergeCell ref="A97:C97"/>
    <mergeCell ref="D97:E97"/>
    <mergeCell ref="F97:G97"/>
    <mergeCell ref="I97:K97"/>
    <mergeCell ref="A91:C91"/>
    <mergeCell ref="D91:E91"/>
    <mergeCell ref="F91:G91"/>
    <mergeCell ref="A92:C92"/>
    <mergeCell ref="D92:E92"/>
    <mergeCell ref="F92:G92"/>
    <mergeCell ref="I87:K92"/>
    <mergeCell ref="A89:C89"/>
    <mergeCell ref="D89:E89"/>
    <mergeCell ref="F89:G89"/>
    <mergeCell ref="A90:C90"/>
    <mergeCell ref="D90:E90"/>
    <mergeCell ref="F90:G90"/>
    <mergeCell ref="A87:C87"/>
    <mergeCell ref="D87:E87"/>
    <mergeCell ref="F87:G87"/>
    <mergeCell ref="A88:C88"/>
    <mergeCell ref="D88:E88"/>
    <mergeCell ref="F88:G88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1:C71"/>
    <mergeCell ref="D71:E71"/>
    <mergeCell ref="F71:G71"/>
    <mergeCell ref="I71:K71"/>
    <mergeCell ref="A74:C74"/>
    <mergeCell ref="D74:E74"/>
    <mergeCell ref="F74:G74"/>
    <mergeCell ref="I74:K74"/>
    <mergeCell ref="A72:C72"/>
    <mergeCell ref="D72:E72"/>
    <mergeCell ref="F72:G72"/>
    <mergeCell ref="I72:K72"/>
    <mergeCell ref="A73:C73"/>
    <mergeCell ref="D73:E73"/>
    <mergeCell ref="F73:G73"/>
    <mergeCell ref="I73:K73"/>
    <mergeCell ref="A69:C69"/>
    <mergeCell ref="D69:E69"/>
    <mergeCell ref="F69:G69"/>
    <mergeCell ref="I69:K69"/>
    <mergeCell ref="A70:C70"/>
    <mergeCell ref="D70:E70"/>
    <mergeCell ref="F70:G70"/>
    <mergeCell ref="I70:K70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A35:C35"/>
    <mergeCell ref="D35:E35"/>
    <mergeCell ref="F35:G35"/>
    <mergeCell ref="I35:K35"/>
    <mergeCell ref="A32:C32"/>
    <mergeCell ref="D32:E32"/>
    <mergeCell ref="F32:G32"/>
    <mergeCell ref="I32:K32"/>
    <mergeCell ref="A33:C33"/>
    <mergeCell ref="D33:E33"/>
    <mergeCell ref="F33:G33"/>
    <mergeCell ref="A26:C26"/>
    <mergeCell ref="D26:E26"/>
    <mergeCell ref="F26:G26"/>
    <mergeCell ref="H26:J26"/>
    <mergeCell ref="A28:J28"/>
    <mergeCell ref="A30:J30"/>
    <mergeCell ref="A24:C24"/>
    <mergeCell ref="D24:E24"/>
    <mergeCell ref="F24:G24"/>
    <mergeCell ref="H24:J24"/>
    <mergeCell ref="A25:C25"/>
    <mergeCell ref="D25:E25"/>
    <mergeCell ref="F25:G25"/>
    <mergeCell ref="H25:J25"/>
    <mergeCell ref="A22:C22"/>
    <mergeCell ref="D22:E22"/>
    <mergeCell ref="F22:G22"/>
    <mergeCell ref="H22:J22"/>
    <mergeCell ref="A23:C23"/>
    <mergeCell ref="D23:E23"/>
    <mergeCell ref="F23:G23"/>
    <mergeCell ref="H23:J23"/>
    <mergeCell ref="A2:J2"/>
    <mergeCell ref="A3:J3"/>
    <mergeCell ref="A4:J4"/>
    <mergeCell ref="A5:I5"/>
    <mergeCell ref="A6:J6"/>
    <mergeCell ref="A7:J7"/>
    <mergeCell ref="A18:J18"/>
    <mergeCell ref="A19:J19"/>
    <mergeCell ref="A21:C21"/>
    <mergeCell ref="D21:E21"/>
    <mergeCell ref="F21:G21"/>
    <mergeCell ref="H21:J21"/>
    <mergeCell ref="A8:J8"/>
    <mergeCell ref="A9:I9"/>
    <mergeCell ref="A10:I10"/>
    <mergeCell ref="A11:J11"/>
    <mergeCell ref="A15:J15"/>
    <mergeCell ref="A16:J16"/>
    <mergeCell ref="A13:J13"/>
    <mergeCell ref="A12:J12"/>
    <mergeCell ref="A14:J14"/>
  </mergeCells>
  <pageMargins left="0.31496062992125984" right="0.11811023622047245" top="0.74803149606299213" bottom="0.55118110236220474" header="0.31496062992125984" footer="0.31496062992125984"/>
  <pageSetup paperSize="9" scale="77" fitToHeight="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8"/>
  <sheetViews>
    <sheetView topLeftCell="A7" workbookViewId="0">
      <selection activeCell="A25" sqref="A25:XFD25"/>
    </sheetView>
  </sheetViews>
  <sheetFormatPr defaultRowHeight="15" x14ac:dyDescent="0.25"/>
  <cols>
    <col min="1" max="1" width="15.140625" customWidth="1"/>
    <col min="2" max="2" width="14.28515625" customWidth="1"/>
    <col min="3" max="3" width="15.8554687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114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114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114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223" t="s">
        <v>162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10" ht="15.75" x14ac:dyDescent="0.25">
      <c r="A6" s="114"/>
      <c r="B6" s="70"/>
      <c r="C6" s="70"/>
      <c r="D6" s="70"/>
      <c r="E6" s="70"/>
      <c r="F6" s="70"/>
      <c r="G6" s="70"/>
      <c r="H6" s="70"/>
      <c r="I6" s="70"/>
      <c r="J6" s="70"/>
    </row>
    <row r="7" spans="1:10" ht="39" customHeight="1" x14ac:dyDescent="0.25">
      <c r="A7" s="129" t="s">
        <v>3</v>
      </c>
      <c r="B7" s="130"/>
      <c r="C7" s="130"/>
      <c r="D7" s="130"/>
      <c r="E7" s="130"/>
      <c r="F7" s="130"/>
      <c r="G7" s="130"/>
      <c r="H7" s="130"/>
      <c r="I7" s="130"/>
      <c r="J7" s="70"/>
    </row>
    <row r="8" spans="1:10" ht="7.5" customHeight="1" x14ac:dyDescent="0.25">
      <c r="A8" s="114"/>
      <c r="B8" s="70"/>
      <c r="C8" s="70"/>
      <c r="D8" s="70"/>
      <c r="E8" s="70"/>
      <c r="F8" s="70"/>
      <c r="G8" s="70"/>
      <c r="H8" s="70"/>
      <c r="I8" s="70"/>
    </row>
    <row r="9" spans="1:10" ht="139.5" customHeight="1" x14ac:dyDescent="0.3">
      <c r="A9" s="194" t="s">
        <v>149</v>
      </c>
      <c r="B9" s="195"/>
      <c r="C9" s="195"/>
      <c r="D9" s="195"/>
      <c r="E9" s="195"/>
      <c r="F9" s="195"/>
      <c r="G9" s="195"/>
      <c r="H9" s="195"/>
      <c r="I9" s="195"/>
      <c r="J9" s="19"/>
    </row>
    <row r="10" spans="1:10" ht="18" customHeight="1" x14ac:dyDescent="0.25">
      <c r="A10" s="126" t="s">
        <v>125</v>
      </c>
      <c r="B10" s="127"/>
      <c r="C10" s="127"/>
      <c r="D10" s="127"/>
      <c r="E10" s="127"/>
      <c r="F10" s="127"/>
      <c r="G10" s="127"/>
      <c r="H10" s="127"/>
      <c r="I10" s="127"/>
      <c r="J10" s="128"/>
    </row>
    <row r="11" spans="1:10" ht="35.25" customHeight="1" x14ac:dyDescent="0.25">
      <c r="A11" s="126" t="s">
        <v>154</v>
      </c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0" ht="15.75" x14ac:dyDescent="0.25">
      <c r="A12" s="131" t="s">
        <v>30</v>
      </c>
      <c r="B12" s="132"/>
      <c r="C12" s="132"/>
      <c r="D12" s="132"/>
      <c r="E12" s="132"/>
      <c r="F12" s="132"/>
      <c r="G12" s="132"/>
      <c r="H12" s="132"/>
      <c r="I12" s="132"/>
      <c r="J12" s="132"/>
    </row>
    <row r="13" spans="1:10" ht="50.25" customHeight="1" x14ac:dyDescent="0.25">
      <c r="A13" s="203" t="s">
        <v>113</v>
      </c>
      <c r="B13" s="130"/>
      <c r="C13" s="130"/>
      <c r="D13" s="130"/>
      <c r="E13" s="130"/>
      <c r="F13" s="130"/>
      <c r="G13" s="130"/>
      <c r="H13" s="130"/>
      <c r="I13" s="130"/>
      <c r="J13" s="70"/>
    </row>
    <row r="14" spans="1:10" ht="15.75" x14ac:dyDescent="0.25">
      <c r="A14" s="114" t="s">
        <v>4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0" ht="15.75" x14ac:dyDescent="0.25">
      <c r="A15" s="115" t="s">
        <v>155</v>
      </c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 ht="15.75" x14ac:dyDescent="0.25">
      <c r="A16" s="2"/>
    </row>
    <row r="17" spans="1:11" ht="15.75" x14ac:dyDescent="0.25">
      <c r="A17" s="117"/>
      <c r="B17" s="118"/>
      <c r="C17" s="118"/>
      <c r="D17" s="71" t="s">
        <v>21</v>
      </c>
      <c r="E17" s="71"/>
      <c r="F17" s="71" t="s">
        <v>6</v>
      </c>
      <c r="G17" s="71"/>
      <c r="H17" s="117" t="s">
        <v>14</v>
      </c>
      <c r="I17" s="71"/>
      <c r="J17" s="71"/>
    </row>
    <row r="18" spans="1:11" ht="30" customHeight="1" x14ac:dyDescent="0.25">
      <c r="A18" s="137" t="s">
        <v>7</v>
      </c>
      <c r="B18" s="138"/>
      <c r="C18" s="138"/>
      <c r="D18" s="139">
        <v>9945281</v>
      </c>
      <c r="E18" s="139"/>
      <c r="F18" s="139">
        <f>D18+H18</f>
        <v>10266198</v>
      </c>
      <c r="G18" s="139"/>
      <c r="H18" s="222">
        <v>320917</v>
      </c>
      <c r="I18" s="222"/>
      <c r="J18" s="222"/>
    </row>
    <row r="19" spans="1:11" x14ac:dyDescent="0.25">
      <c r="A19" s="137" t="s">
        <v>8</v>
      </c>
      <c r="B19" s="138"/>
      <c r="C19" s="138"/>
      <c r="D19" s="139">
        <f>308006.4+537000+495723.6</f>
        <v>1340730</v>
      </c>
      <c r="E19" s="139"/>
      <c r="F19" s="139">
        <f t="shared" ref="F19:F21" si="0">D19+H19</f>
        <v>1340730</v>
      </c>
      <c r="G19" s="139"/>
      <c r="H19" s="222"/>
      <c r="I19" s="222"/>
      <c r="J19" s="222"/>
    </row>
    <row r="20" spans="1:11" x14ac:dyDescent="0.25">
      <c r="A20" s="137" t="s">
        <v>9</v>
      </c>
      <c r="B20" s="138"/>
      <c r="C20" s="138"/>
      <c r="D20" s="139">
        <v>0</v>
      </c>
      <c r="E20" s="139"/>
      <c r="F20" s="139">
        <f t="shared" si="0"/>
        <v>0</v>
      </c>
      <c r="G20" s="139"/>
      <c r="H20" s="222"/>
      <c r="I20" s="222"/>
      <c r="J20" s="222"/>
    </row>
    <row r="21" spans="1:11" ht="30" customHeight="1" x14ac:dyDescent="0.25">
      <c r="A21" s="142" t="s">
        <v>10</v>
      </c>
      <c r="B21" s="143"/>
      <c r="C21" s="144"/>
      <c r="D21" s="139">
        <v>979104.66</v>
      </c>
      <c r="E21" s="139"/>
      <c r="F21" s="204">
        <f t="shared" si="0"/>
        <v>979104.66</v>
      </c>
      <c r="G21" s="204"/>
      <c r="H21" s="222"/>
      <c r="I21" s="222"/>
      <c r="J21" s="222"/>
    </row>
    <row r="22" spans="1:11" ht="15.75" x14ac:dyDescent="0.25">
      <c r="A22" s="117" t="s">
        <v>11</v>
      </c>
      <c r="B22" s="145"/>
      <c r="C22" s="145"/>
      <c r="D22" s="133">
        <f>D18+D19+D20+D21</f>
        <v>12265115.66</v>
      </c>
      <c r="E22" s="133"/>
      <c r="F22" s="133">
        <f>SUM(F18:G21)</f>
        <v>12586032.66</v>
      </c>
      <c r="G22" s="133"/>
      <c r="H22" s="225">
        <f>H18+H19+H20+H21</f>
        <v>320917</v>
      </c>
      <c r="I22" s="226"/>
      <c r="J22" s="226"/>
    </row>
    <row r="23" spans="1:11" ht="15.75" x14ac:dyDescent="0.25">
      <c r="A23" s="16"/>
      <c r="B23" s="17"/>
      <c r="C23" s="17"/>
      <c r="D23" s="31"/>
      <c r="E23" s="31"/>
      <c r="F23" s="31"/>
      <c r="G23" s="31"/>
      <c r="H23" s="18"/>
      <c r="I23" s="9"/>
      <c r="J23" s="9"/>
    </row>
    <row r="24" spans="1:11" ht="15.75" x14ac:dyDescent="0.25">
      <c r="A24" s="115" t="s">
        <v>156</v>
      </c>
      <c r="B24" s="116"/>
      <c r="C24" s="116"/>
      <c r="D24" s="116"/>
      <c r="E24" s="116"/>
      <c r="F24" s="116"/>
      <c r="G24" s="116"/>
      <c r="H24" s="116"/>
      <c r="I24" s="116"/>
      <c r="J24" s="116"/>
    </row>
    <row r="26" spans="1:11" x14ac:dyDescent="0.25">
      <c r="A26" s="136" t="s">
        <v>12</v>
      </c>
      <c r="B26" s="136"/>
      <c r="C26" s="136"/>
      <c r="D26" s="136"/>
      <c r="E26" s="136"/>
      <c r="F26" s="136"/>
      <c r="G26" s="136"/>
      <c r="H26" s="136"/>
      <c r="I26" s="136"/>
      <c r="J26" s="136"/>
    </row>
    <row r="27" spans="1:11" ht="10.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1" s="3" customFormat="1" x14ac:dyDescent="0.25">
      <c r="A28" s="50"/>
      <c r="B28" s="50"/>
      <c r="C28" s="50"/>
      <c r="D28" s="71" t="s">
        <v>21</v>
      </c>
      <c r="E28" s="71"/>
      <c r="F28" s="71" t="s">
        <v>6</v>
      </c>
      <c r="G28" s="71"/>
      <c r="H28" s="24" t="s">
        <v>14</v>
      </c>
      <c r="I28" s="72" t="s">
        <v>13</v>
      </c>
      <c r="J28" s="73"/>
      <c r="K28" s="74"/>
    </row>
    <row r="29" spans="1:11" s="3" customFormat="1" ht="17.45" customHeight="1" x14ac:dyDescent="0.25">
      <c r="A29" s="121" t="s">
        <v>15</v>
      </c>
      <c r="B29" s="121"/>
      <c r="C29" s="121"/>
      <c r="D29" s="54">
        <v>4101924.57</v>
      </c>
      <c r="E29" s="55"/>
      <c r="F29" s="54">
        <f t="shared" ref="F29:F35" si="1">D29+H29</f>
        <v>4101924.57</v>
      </c>
      <c r="G29" s="55"/>
      <c r="H29" s="48"/>
      <c r="I29" s="206"/>
      <c r="J29" s="207"/>
      <c r="K29" s="208"/>
    </row>
    <row r="30" spans="1:11" s="3" customFormat="1" ht="17.45" customHeight="1" x14ac:dyDescent="0.25">
      <c r="A30" s="51" t="s">
        <v>16</v>
      </c>
      <c r="B30" s="52"/>
      <c r="C30" s="53"/>
      <c r="D30" s="119">
        <v>1238781.21</v>
      </c>
      <c r="E30" s="120"/>
      <c r="F30" s="54">
        <f t="shared" si="1"/>
        <v>1238781.21</v>
      </c>
      <c r="G30" s="55"/>
      <c r="H30" s="48"/>
      <c r="I30" s="215"/>
      <c r="J30" s="216"/>
      <c r="K30" s="217"/>
    </row>
    <row r="31" spans="1:11" s="3" customFormat="1" ht="16.5" customHeight="1" x14ac:dyDescent="0.25">
      <c r="A31" s="121" t="s">
        <v>18</v>
      </c>
      <c r="B31" s="121"/>
      <c r="C31" s="121"/>
      <c r="D31" s="54">
        <f>SUM(D32:E35)</f>
        <v>18824.400000000001</v>
      </c>
      <c r="E31" s="55"/>
      <c r="F31" s="54">
        <f t="shared" si="1"/>
        <v>18824.400000000001</v>
      </c>
      <c r="G31" s="55"/>
      <c r="H31" s="26">
        <f>SUM(H32:H35)</f>
        <v>0</v>
      </c>
      <c r="I31" s="151"/>
      <c r="J31" s="151"/>
      <c r="K31" s="151"/>
    </row>
    <row r="32" spans="1:11" s="3" customFormat="1" ht="16.5" customHeight="1" x14ac:dyDescent="0.25">
      <c r="A32" s="154" t="s">
        <v>41</v>
      </c>
      <c r="B32" s="155"/>
      <c r="C32" s="96"/>
      <c r="D32" s="95">
        <v>14400</v>
      </c>
      <c r="E32" s="112"/>
      <c r="F32" s="95">
        <f t="shared" si="1"/>
        <v>14400</v>
      </c>
      <c r="G32" s="113"/>
      <c r="H32" s="10"/>
      <c r="I32" s="90"/>
      <c r="J32" s="91"/>
      <c r="K32" s="92"/>
    </row>
    <row r="33" spans="1:11" s="3" customFormat="1" ht="16.5" customHeight="1" x14ac:dyDescent="0.25">
      <c r="A33" s="154" t="s">
        <v>69</v>
      </c>
      <c r="B33" s="155"/>
      <c r="C33" s="96"/>
      <c r="D33" s="95">
        <v>2647.2</v>
      </c>
      <c r="E33" s="112"/>
      <c r="F33" s="95">
        <f t="shared" si="1"/>
        <v>2647.2</v>
      </c>
      <c r="G33" s="113"/>
      <c r="H33" s="14"/>
      <c r="I33" s="151"/>
      <c r="J33" s="151"/>
      <c r="K33" s="151"/>
    </row>
    <row r="34" spans="1:11" s="3" customFormat="1" ht="16.5" customHeight="1" x14ac:dyDescent="0.25">
      <c r="A34" s="84" t="s">
        <v>68</v>
      </c>
      <c r="B34" s="152"/>
      <c r="C34" s="153"/>
      <c r="D34" s="95">
        <v>277.2</v>
      </c>
      <c r="E34" s="112"/>
      <c r="F34" s="95">
        <f t="shared" si="1"/>
        <v>277.2</v>
      </c>
      <c r="G34" s="113"/>
      <c r="H34" s="10"/>
      <c r="I34" s="90"/>
      <c r="J34" s="91"/>
      <c r="K34" s="92"/>
    </row>
    <row r="35" spans="1:11" s="3" customFormat="1" ht="20.25" customHeight="1" x14ac:dyDescent="0.25">
      <c r="A35" s="84" t="s">
        <v>70</v>
      </c>
      <c r="B35" s="152"/>
      <c r="C35" s="153"/>
      <c r="D35" s="95">
        <v>1500</v>
      </c>
      <c r="E35" s="112"/>
      <c r="F35" s="95">
        <f t="shared" si="1"/>
        <v>1500</v>
      </c>
      <c r="G35" s="113"/>
      <c r="H35" s="10"/>
      <c r="I35" s="90"/>
      <c r="J35" s="91"/>
      <c r="K35" s="92"/>
    </row>
    <row r="36" spans="1:11" s="3" customFormat="1" ht="16.5" customHeight="1" x14ac:dyDescent="0.25">
      <c r="A36" s="51" t="s">
        <v>17</v>
      </c>
      <c r="B36" s="52"/>
      <c r="C36" s="53"/>
      <c r="D36" s="149">
        <f>SUM(D37:E39)</f>
        <v>595658.37</v>
      </c>
      <c r="E36" s="150"/>
      <c r="F36" s="149">
        <f>H36+D36</f>
        <v>672212.77</v>
      </c>
      <c r="G36" s="150"/>
      <c r="H36" s="39">
        <f>SUM(H37:H39)</f>
        <v>76554.399999999994</v>
      </c>
      <c r="I36" s="151"/>
      <c r="J36" s="151"/>
      <c r="K36" s="151"/>
    </row>
    <row r="37" spans="1:11" s="3" customFormat="1" ht="50.25" customHeight="1" x14ac:dyDescent="0.25">
      <c r="A37" s="84" t="s">
        <v>158</v>
      </c>
      <c r="B37" s="85"/>
      <c r="C37" s="86"/>
      <c r="D37" s="95">
        <f>75000*7.55</f>
        <v>566250</v>
      </c>
      <c r="E37" s="112"/>
      <c r="F37" s="95">
        <f>H37+D37</f>
        <v>642804.4</v>
      </c>
      <c r="G37" s="113"/>
      <c r="H37" s="45">
        <v>76554.399999999994</v>
      </c>
      <c r="I37" s="90" t="s">
        <v>160</v>
      </c>
      <c r="J37" s="91"/>
      <c r="K37" s="92"/>
    </row>
    <row r="38" spans="1:11" s="3" customFormat="1" ht="24" customHeight="1" x14ac:dyDescent="0.25">
      <c r="A38" s="84" t="s">
        <v>145</v>
      </c>
      <c r="B38" s="85"/>
      <c r="C38" s="86"/>
      <c r="D38" s="95">
        <f>3*2800.19</f>
        <v>8400.57</v>
      </c>
      <c r="E38" s="112"/>
      <c r="F38" s="95">
        <f>H38+D38</f>
        <v>8400.57</v>
      </c>
      <c r="G38" s="113"/>
      <c r="H38" s="42"/>
      <c r="I38" s="90"/>
      <c r="J38" s="91"/>
      <c r="K38" s="92"/>
    </row>
    <row r="39" spans="1:11" s="3" customFormat="1" ht="34.5" customHeight="1" x14ac:dyDescent="0.25">
      <c r="A39" s="84" t="s">
        <v>72</v>
      </c>
      <c r="B39" s="85"/>
      <c r="C39" s="86"/>
      <c r="D39" s="95">
        <v>21007.8</v>
      </c>
      <c r="E39" s="112"/>
      <c r="F39" s="95">
        <f>H39+D39</f>
        <v>21007.8</v>
      </c>
      <c r="G39" s="113"/>
      <c r="H39" s="42"/>
      <c r="I39" s="90"/>
      <c r="J39" s="91"/>
      <c r="K39" s="92"/>
    </row>
    <row r="40" spans="1:11" s="3" customFormat="1" ht="19.5" customHeight="1" x14ac:dyDescent="0.25">
      <c r="A40" s="51" t="s">
        <v>19</v>
      </c>
      <c r="B40" s="52"/>
      <c r="C40" s="53"/>
      <c r="D40" s="149">
        <f>SUM(D41:E51)</f>
        <v>383012.25</v>
      </c>
      <c r="E40" s="150"/>
      <c r="F40" s="149">
        <f>D40+H40</f>
        <v>391012.25</v>
      </c>
      <c r="G40" s="150"/>
      <c r="H40" s="39">
        <f>SUM(H42:H51)</f>
        <v>8000</v>
      </c>
      <c r="I40" s="122"/>
      <c r="J40" s="123"/>
      <c r="K40" s="124"/>
    </row>
    <row r="41" spans="1:11" s="3" customFormat="1" ht="65.25" customHeight="1" x14ac:dyDescent="0.25">
      <c r="A41" s="84" t="s">
        <v>74</v>
      </c>
      <c r="B41" s="85"/>
      <c r="C41" s="86"/>
      <c r="D41" s="59">
        <f>20000+3*10000+15000</f>
        <v>65000</v>
      </c>
      <c r="E41" s="60"/>
      <c r="F41" s="95">
        <f t="shared" ref="F41:F51" si="2">D41+H41</f>
        <v>65000</v>
      </c>
      <c r="G41" s="113"/>
      <c r="H41" s="40"/>
      <c r="I41" s="90"/>
      <c r="J41" s="91"/>
      <c r="K41" s="92"/>
    </row>
    <row r="42" spans="1:11" s="3" customFormat="1" ht="72" customHeight="1" x14ac:dyDescent="0.25">
      <c r="A42" s="84" t="s">
        <v>159</v>
      </c>
      <c r="B42" s="85"/>
      <c r="C42" s="86"/>
      <c r="D42" s="59">
        <f>8250+6000+3000</f>
        <v>17250</v>
      </c>
      <c r="E42" s="60"/>
      <c r="F42" s="95">
        <f t="shared" si="2"/>
        <v>35250</v>
      </c>
      <c r="G42" s="113"/>
      <c r="H42" s="42">
        <v>18000</v>
      </c>
      <c r="I42" s="90" t="s">
        <v>131</v>
      </c>
      <c r="J42" s="91"/>
      <c r="K42" s="92"/>
    </row>
    <row r="43" spans="1:11" s="3" customFormat="1" ht="38.25" customHeight="1" x14ac:dyDescent="0.25">
      <c r="A43" s="84" t="s">
        <v>22</v>
      </c>
      <c r="B43" s="85"/>
      <c r="C43" s="86"/>
      <c r="D43" s="59">
        <v>1400</v>
      </c>
      <c r="E43" s="60"/>
      <c r="F43" s="95">
        <f t="shared" si="2"/>
        <v>1400</v>
      </c>
      <c r="G43" s="113"/>
      <c r="H43" s="42"/>
      <c r="I43" s="90"/>
      <c r="J43" s="91"/>
      <c r="K43" s="92"/>
    </row>
    <row r="44" spans="1:11" s="3" customFormat="1" ht="51.75" customHeight="1" x14ac:dyDescent="0.25">
      <c r="A44" s="84" t="s">
        <v>36</v>
      </c>
      <c r="B44" s="85"/>
      <c r="C44" s="86"/>
      <c r="D44" s="59">
        <f>62042.4+120339.85</f>
        <v>182382.25</v>
      </c>
      <c r="E44" s="60"/>
      <c r="F44" s="95">
        <f t="shared" si="2"/>
        <v>182382.25</v>
      </c>
      <c r="G44" s="113"/>
      <c r="H44" s="41"/>
      <c r="I44" s="156"/>
      <c r="J44" s="157"/>
      <c r="K44" s="158"/>
    </row>
    <row r="45" spans="1:11" s="3" customFormat="1" ht="36.75" customHeight="1" x14ac:dyDescent="0.25">
      <c r="A45" s="84" t="s">
        <v>37</v>
      </c>
      <c r="B45" s="85"/>
      <c r="C45" s="86"/>
      <c r="D45" s="59">
        <f>1670*42</f>
        <v>70140</v>
      </c>
      <c r="E45" s="60"/>
      <c r="F45" s="95">
        <f t="shared" si="2"/>
        <v>60140</v>
      </c>
      <c r="G45" s="113"/>
      <c r="H45" s="42">
        <v>-10000</v>
      </c>
      <c r="I45" s="90" t="s">
        <v>165</v>
      </c>
      <c r="J45" s="91"/>
      <c r="K45" s="92"/>
    </row>
    <row r="46" spans="1:11" s="3" customFormat="1" ht="16.5" customHeight="1" x14ac:dyDescent="0.25">
      <c r="A46" s="84" t="s">
        <v>102</v>
      </c>
      <c r="B46" s="85"/>
      <c r="C46" s="86"/>
      <c r="D46" s="59">
        <v>13440</v>
      </c>
      <c r="E46" s="60"/>
      <c r="F46" s="95">
        <f t="shared" si="2"/>
        <v>13440</v>
      </c>
      <c r="G46" s="113"/>
      <c r="H46" s="42"/>
      <c r="I46" s="90"/>
      <c r="J46" s="91"/>
      <c r="K46" s="92"/>
    </row>
    <row r="47" spans="1:11" s="3" customFormat="1" ht="37.5" customHeight="1" x14ac:dyDescent="0.25">
      <c r="A47" s="84" t="s">
        <v>51</v>
      </c>
      <c r="B47" s="85"/>
      <c r="C47" s="86"/>
      <c r="D47" s="59">
        <v>9000</v>
      </c>
      <c r="E47" s="60"/>
      <c r="F47" s="95">
        <f t="shared" si="2"/>
        <v>9000</v>
      </c>
      <c r="G47" s="113"/>
      <c r="H47" s="40"/>
      <c r="I47" s="122"/>
      <c r="J47" s="123"/>
      <c r="K47" s="124"/>
    </row>
    <row r="48" spans="1:11" s="3" customFormat="1" ht="16.5" customHeight="1" x14ac:dyDescent="0.25">
      <c r="A48" s="84" t="s">
        <v>23</v>
      </c>
      <c r="B48" s="85"/>
      <c r="C48" s="86"/>
      <c r="D48" s="59">
        <v>10000</v>
      </c>
      <c r="E48" s="60"/>
      <c r="F48" s="95">
        <f t="shared" si="2"/>
        <v>10000</v>
      </c>
      <c r="G48" s="113"/>
      <c r="H48" s="40"/>
      <c r="I48" s="122"/>
      <c r="J48" s="123"/>
      <c r="K48" s="124"/>
    </row>
    <row r="49" spans="1:11" s="3" customFormat="1" ht="16.5" customHeight="1" x14ac:dyDescent="0.25">
      <c r="A49" s="84" t="s">
        <v>61</v>
      </c>
      <c r="B49" s="85"/>
      <c r="C49" s="86"/>
      <c r="D49" s="59">
        <v>5000</v>
      </c>
      <c r="E49" s="60"/>
      <c r="F49" s="95">
        <f t="shared" si="2"/>
        <v>5000</v>
      </c>
      <c r="G49" s="113"/>
      <c r="H49" s="40"/>
      <c r="I49" s="122"/>
      <c r="J49" s="123"/>
      <c r="K49" s="124"/>
    </row>
    <row r="50" spans="1:11" s="3" customFormat="1" ht="24.75" customHeight="1" x14ac:dyDescent="0.25">
      <c r="A50" s="84" t="s">
        <v>32</v>
      </c>
      <c r="B50" s="159"/>
      <c r="C50" s="160"/>
      <c r="D50" s="59">
        <v>2400</v>
      </c>
      <c r="E50" s="161"/>
      <c r="F50" s="95">
        <f t="shared" si="2"/>
        <v>2400</v>
      </c>
      <c r="G50" s="113"/>
      <c r="H50" s="40"/>
      <c r="I50" s="122"/>
      <c r="J50" s="123"/>
      <c r="K50" s="124"/>
    </row>
    <row r="51" spans="1:11" s="3" customFormat="1" ht="24.75" customHeight="1" x14ac:dyDescent="0.25">
      <c r="A51" s="84" t="s">
        <v>76</v>
      </c>
      <c r="B51" s="159"/>
      <c r="C51" s="160"/>
      <c r="D51" s="59">
        <f>14*500</f>
        <v>7000</v>
      </c>
      <c r="E51" s="161"/>
      <c r="F51" s="95">
        <f t="shared" si="2"/>
        <v>7000</v>
      </c>
      <c r="G51" s="113"/>
      <c r="H51" s="40"/>
      <c r="I51" s="122"/>
      <c r="J51" s="123"/>
      <c r="K51" s="124"/>
    </row>
    <row r="52" spans="1:11" s="3" customFormat="1" ht="16.5" customHeight="1" x14ac:dyDescent="0.25">
      <c r="A52" s="51" t="s">
        <v>20</v>
      </c>
      <c r="B52" s="52"/>
      <c r="C52" s="53"/>
      <c r="D52" s="149">
        <f>SUM(D53:E66)</f>
        <v>3304957.4</v>
      </c>
      <c r="E52" s="150"/>
      <c r="F52" s="149">
        <f>SUM(F53:G66)</f>
        <v>3357820</v>
      </c>
      <c r="G52" s="150"/>
      <c r="H52" s="39">
        <f>SUM(H53:H66)</f>
        <v>52862.6</v>
      </c>
      <c r="I52" s="151"/>
      <c r="J52" s="151"/>
      <c r="K52" s="151"/>
    </row>
    <row r="53" spans="1:11" s="3" customFormat="1" ht="27.75" customHeight="1" x14ac:dyDescent="0.25">
      <c r="A53" s="84" t="s">
        <v>52</v>
      </c>
      <c r="B53" s="85"/>
      <c r="C53" s="86"/>
      <c r="D53" s="87">
        <v>7027.2</v>
      </c>
      <c r="E53" s="88"/>
      <c r="F53" s="87">
        <f t="shared" ref="F53:F75" si="3">D53+H53</f>
        <v>7027.2</v>
      </c>
      <c r="G53" s="89"/>
      <c r="H53" s="43"/>
      <c r="I53" s="90"/>
      <c r="J53" s="91"/>
      <c r="K53" s="92"/>
    </row>
    <row r="54" spans="1:11" s="3" customFormat="1" ht="15.75" customHeight="1" x14ac:dyDescent="0.25">
      <c r="A54" s="84" t="s">
        <v>33</v>
      </c>
      <c r="B54" s="85"/>
      <c r="C54" s="86"/>
      <c r="D54" s="87">
        <v>20685.599999999999</v>
      </c>
      <c r="E54" s="88"/>
      <c r="F54" s="87">
        <f t="shared" si="3"/>
        <v>20685.599999999999</v>
      </c>
      <c r="G54" s="89"/>
      <c r="H54" s="44"/>
      <c r="I54" s="162"/>
      <c r="J54" s="163"/>
      <c r="K54" s="164"/>
    </row>
    <row r="55" spans="1:11" s="3" customFormat="1" ht="63" customHeight="1" x14ac:dyDescent="0.25">
      <c r="A55" s="84" t="s">
        <v>47</v>
      </c>
      <c r="B55" s="85"/>
      <c r="C55" s="86"/>
      <c r="D55" s="87">
        <v>50000</v>
      </c>
      <c r="E55" s="88"/>
      <c r="F55" s="87">
        <f t="shared" si="3"/>
        <v>50000</v>
      </c>
      <c r="G55" s="89"/>
      <c r="H55" s="43"/>
      <c r="I55" s="97"/>
      <c r="J55" s="98"/>
      <c r="K55" s="99"/>
    </row>
    <row r="56" spans="1:11" s="3" customFormat="1" ht="38.25" customHeight="1" x14ac:dyDescent="0.25">
      <c r="A56" s="84" t="s">
        <v>77</v>
      </c>
      <c r="B56" s="85"/>
      <c r="C56" s="86"/>
      <c r="D56" s="87">
        <f>3*10429.44</f>
        <v>31288.32</v>
      </c>
      <c r="E56" s="88"/>
      <c r="F56" s="87">
        <f t="shared" si="3"/>
        <v>31275.200000000001</v>
      </c>
      <c r="G56" s="89"/>
      <c r="H56" s="47">
        <v>-13.12</v>
      </c>
      <c r="I56" s="90" t="s">
        <v>132</v>
      </c>
      <c r="J56" s="91"/>
      <c r="K56" s="92"/>
    </row>
    <row r="57" spans="1:11" s="3" customFormat="1" ht="16.5" customHeight="1" x14ac:dyDescent="0.25">
      <c r="A57" s="84" t="s">
        <v>48</v>
      </c>
      <c r="B57" s="85"/>
      <c r="C57" s="86"/>
      <c r="D57" s="87">
        <v>300000</v>
      </c>
      <c r="E57" s="88"/>
      <c r="F57" s="87">
        <f t="shared" si="3"/>
        <v>300000</v>
      </c>
      <c r="G57" s="89"/>
      <c r="H57" s="47"/>
      <c r="I57" s="90"/>
      <c r="J57" s="91"/>
      <c r="K57" s="92"/>
    </row>
    <row r="58" spans="1:11" s="3" customFormat="1" ht="16.5" customHeight="1" x14ac:dyDescent="0.25">
      <c r="A58" s="84" t="s">
        <v>53</v>
      </c>
      <c r="B58" s="85"/>
      <c r="C58" s="86"/>
      <c r="D58" s="87">
        <v>8600</v>
      </c>
      <c r="E58" s="88"/>
      <c r="F58" s="87">
        <f t="shared" si="3"/>
        <v>8600</v>
      </c>
      <c r="G58" s="89"/>
      <c r="H58" s="47"/>
      <c r="I58" s="90"/>
      <c r="J58" s="91"/>
      <c r="K58" s="92"/>
    </row>
    <row r="59" spans="1:11" s="3" customFormat="1" ht="36.75" customHeight="1" x14ac:dyDescent="0.25">
      <c r="A59" s="84" t="s">
        <v>62</v>
      </c>
      <c r="B59" s="85"/>
      <c r="C59" s="86"/>
      <c r="D59" s="87">
        <v>22900</v>
      </c>
      <c r="E59" s="88"/>
      <c r="F59" s="87">
        <f t="shared" si="3"/>
        <v>29790</v>
      </c>
      <c r="G59" s="89"/>
      <c r="H59" s="47">
        <v>6890</v>
      </c>
      <c r="I59" s="90" t="s">
        <v>167</v>
      </c>
      <c r="J59" s="91"/>
      <c r="K59" s="92"/>
    </row>
    <row r="60" spans="1:11" s="3" customFormat="1" ht="18" customHeight="1" x14ac:dyDescent="0.25">
      <c r="A60" s="84" t="s">
        <v>54</v>
      </c>
      <c r="B60" s="85"/>
      <c r="C60" s="86"/>
      <c r="D60" s="87">
        <v>51050</v>
      </c>
      <c r="E60" s="88"/>
      <c r="F60" s="87">
        <f t="shared" si="3"/>
        <v>51050</v>
      </c>
      <c r="G60" s="89"/>
      <c r="H60" s="47"/>
      <c r="I60" s="90"/>
      <c r="J60" s="91"/>
      <c r="K60" s="92"/>
    </row>
    <row r="61" spans="1:11" s="3" customFormat="1" ht="37.5" customHeight="1" x14ac:dyDescent="0.25">
      <c r="A61" s="84" t="s">
        <v>78</v>
      </c>
      <c r="B61" s="85"/>
      <c r="C61" s="86"/>
      <c r="D61" s="87">
        <v>14914.28</v>
      </c>
      <c r="E61" s="88"/>
      <c r="F61" s="87">
        <f t="shared" si="3"/>
        <v>0</v>
      </c>
      <c r="G61" s="89"/>
      <c r="H61" s="47">
        <v>-14914.28</v>
      </c>
      <c r="I61" s="90" t="s">
        <v>166</v>
      </c>
      <c r="J61" s="91"/>
      <c r="K61" s="92"/>
    </row>
    <row r="62" spans="1:11" s="3" customFormat="1" ht="16.5" customHeight="1" x14ac:dyDescent="0.25">
      <c r="A62" s="84" t="s">
        <v>55</v>
      </c>
      <c r="B62" s="85"/>
      <c r="C62" s="86"/>
      <c r="D62" s="87">
        <v>13500</v>
      </c>
      <c r="E62" s="88"/>
      <c r="F62" s="87">
        <f t="shared" si="3"/>
        <v>13500</v>
      </c>
      <c r="G62" s="89"/>
      <c r="H62" s="47"/>
      <c r="I62" s="90"/>
      <c r="J62" s="91"/>
      <c r="K62" s="92"/>
    </row>
    <row r="63" spans="1:11" s="3" customFormat="1" ht="17.25" customHeight="1" x14ac:dyDescent="0.25">
      <c r="A63" s="84" t="s">
        <v>56</v>
      </c>
      <c r="B63" s="85"/>
      <c r="C63" s="86"/>
      <c r="D63" s="87">
        <v>21792</v>
      </c>
      <c r="E63" s="88"/>
      <c r="F63" s="87">
        <f t="shared" si="3"/>
        <v>21792</v>
      </c>
      <c r="G63" s="89"/>
      <c r="H63" s="47"/>
      <c r="I63" s="90"/>
      <c r="J63" s="91"/>
      <c r="K63" s="92"/>
    </row>
    <row r="64" spans="1:11" s="3" customFormat="1" ht="32.25" customHeight="1" x14ac:dyDescent="0.25">
      <c r="A64" s="84" t="s">
        <v>114</v>
      </c>
      <c r="B64" s="85"/>
      <c r="C64" s="86"/>
      <c r="D64" s="87">
        <v>8000</v>
      </c>
      <c r="E64" s="88"/>
      <c r="F64" s="87">
        <f t="shared" ref="F64" si="4">D64+H64</f>
        <v>8000</v>
      </c>
      <c r="G64" s="89"/>
      <c r="H64" s="47"/>
      <c r="I64" s="90"/>
      <c r="J64" s="91"/>
      <c r="K64" s="92"/>
    </row>
    <row r="65" spans="1:11" s="3" customFormat="1" ht="51" customHeight="1" x14ac:dyDescent="0.25">
      <c r="A65" s="84" t="s">
        <v>163</v>
      </c>
      <c r="B65" s="85"/>
      <c r="C65" s="86"/>
      <c r="D65" s="87"/>
      <c r="E65" s="88"/>
      <c r="F65" s="87">
        <f t="shared" si="3"/>
        <v>60900</v>
      </c>
      <c r="G65" s="89"/>
      <c r="H65" s="47">
        <v>60900</v>
      </c>
      <c r="I65" s="90" t="s">
        <v>161</v>
      </c>
      <c r="J65" s="91"/>
      <c r="K65" s="92"/>
    </row>
    <row r="66" spans="1:11" s="3" customFormat="1" ht="44.25" customHeight="1" x14ac:dyDescent="0.25">
      <c r="A66" s="84" t="s">
        <v>142</v>
      </c>
      <c r="B66" s="85"/>
      <c r="C66" s="86"/>
      <c r="D66" s="87">
        <v>2755200</v>
      </c>
      <c r="E66" s="88"/>
      <c r="F66" s="87">
        <f t="shared" si="3"/>
        <v>2755200</v>
      </c>
      <c r="G66" s="89"/>
      <c r="H66" s="42"/>
      <c r="I66" s="90"/>
      <c r="J66" s="91"/>
      <c r="K66" s="92"/>
    </row>
    <row r="67" spans="1:11" ht="16.5" customHeight="1" x14ac:dyDescent="0.25">
      <c r="A67" s="51" t="s">
        <v>31</v>
      </c>
      <c r="B67" s="52"/>
      <c r="C67" s="53"/>
      <c r="D67" s="54">
        <f>D68</f>
        <v>5096</v>
      </c>
      <c r="E67" s="55"/>
      <c r="F67" s="54">
        <f t="shared" si="3"/>
        <v>5096</v>
      </c>
      <c r="G67" s="55"/>
      <c r="H67" s="39">
        <f>SUM(H68:H68)</f>
        <v>0</v>
      </c>
      <c r="I67" s="50"/>
      <c r="J67" s="50"/>
      <c r="K67" s="50"/>
    </row>
    <row r="68" spans="1:11" s="3" customFormat="1" ht="18" customHeight="1" x14ac:dyDescent="0.25">
      <c r="A68" s="84" t="s">
        <v>115</v>
      </c>
      <c r="B68" s="85"/>
      <c r="C68" s="86"/>
      <c r="D68" s="95">
        <v>5096</v>
      </c>
      <c r="E68" s="112"/>
      <c r="F68" s="95">
        <f t="shared" si="3"/>
        <v>5096</v>
      </c>
      <c r="G68" s="96"/>
      <c r="H68" s="42"/>
      <c r="I68" s="90"/>
      <c r="J68" s="91"/>
      <c r="K68" s="92"/>
    </row>
    <row r="69" spans="1:11" ht="16.5" customHeight="1" x14ac:dyDescent="0.25">
      <c r="A69" s="51" t="s">
        <v>63</v>
      </c>
      <c r="B69" s="52"/>
      <c r="C69" s="53"/>
      <c r="D69" s="54">
        <f>D70</f>
        <v>10300</v>
      </c>
      <c r="E69" s="55"/>
      <c r="F69" s="54">
        <f t="shared" si="3"/>
        <v>10300</v>
      </c>
      <c r="G69" s="55"/>
      <c r="H69" s="39">
        <f>SUM(H70:H70)</f>
        <v>0</v>
      </c>
      <c r="I69" s="50"/>
      <c r="J69" s="50"/>
      <c r="K69" s="50"/>
    </row>
    <row r="70" spans="1:11" s="3" customFormat="1" ht="18.75" customHeight="1" x14ac:dyDescent="0.25">
      <c r="A70" s="84" t="s">
        <v>121</v>
      </c>
      <c r="B70" s="85"/>
      <c r="C70" s="86"/>
      <c r="D70" s="95">
        <v>10300</v>
      </c>
      <c r="E70" s="112"/>
      <c r="F70" s="95">
        <f t="shared" si="3"/>
        <v>10300</v>
      </c>
      <c r="G70" s="96"/>
      <c r="H70" s="42"/>
      <c r="I70" s="90"/>
      <c r="J70" s="91"/>
      <c r="K70" s="92"/>
    </row>
    <row r="71" spans="1:11" ht="45.75" customHeight="1" x14ac:dyDescent="0.25">
      <c r="A71" s="172" t="s">
        <v>34</v>
      </c>
      <c r="B71" s="179"/>
      <c r="C71" s="180"/>
      <c r="D71" s="100">
        <v>4635</v>
      </c>
      <c r="E71" s="181"/>
      <c r="F71" s="100">
        <f t="shared" si="3"/>
        <v>4635</v>
      </c>
      <c r="G71" s="101"/>
      <c r="H71" s="45"/>
      <c r="I71" s="90"/>
      <c r="J71" s="91"/>
      <c r="K71" s="92"/>
    </row>
    <row r="72" spans="1:11" ht="32.25" customHeight="1" x14ac:dyDescent="0.25">
      <c r="A72" s="172" t="s">
        <v>39</v>
      </c>
      <c r="B72" s="173"/>
      <c r="C72" s="174"/>
      <c r="D72" s="100">
        <f>SUM(D73:E75)</f>
        <v>197620</v>
      </c>
      <c r="E72" s="175"/>
      <c r="F72" s="100">
        <f t="shared" si="3"/>
        <v>381120</v>
      </c>
      <c r="G72" s="101"/>
      <c r="H72" s="45">
        <f>H73+H74+H75</f>
        <v>183500</v>
      </c>
      <c r="I72" s="102"/>
      <c r="J72" s="103"/>
      <c r="K72" s="104"/>
    </row>
    <row r="73" spans="1:11" s="3" customFormat="1" ht="25.5" customHeight="1" x14ac:dyDescent="0.25">
      <c r="A73" s="84" t="s">
        <v>83</v>
      </c>
      <c r="B73" s="85"/>
      <c r="C73" s="86"/>
      <c r="D73" s="95">
        <f>4*780</f>
        <v>3120</v>
      </c>
      <c r="E73" s="112"/>
      <c r="F73" s="95">
        <f t="shared" si="3"/>
        <v>3120</v>
      </c>
      <c r="G73" s="113"/>
      <c r="H73" s="41"/>
      <c r="I73" s="97"/>
      <c r="J73" s="98"/>
      <c r="K73" s="99"/>
    </row>
    <row r="74" spans="1:11" s="3" customFormat="1" ht="16.5" customHeight="1" x14ac:dyDescent="0.25">
      <c r="A74" s="84" t="s">
        <v>82</v>
      </c>
      <c r="B74" s="85"/>
      <c r="C74" s="86"/>
      <c r="D74" s="95">
        <f>140*50</f>
        <v>7000</v>
      </c>
      <c r="E74" s="112"/>
      <c r="F74" s="95">
        <f t="shared" si="3"/>
        <v>7000</v>
      </c>
      <c r="G74" s="113"/>
      <c r="H74" s="42"/>
      <c r="I74" s="90"/>
      <c r="J74" s="91"/>
      <c r="K74" s="92"/>
    </row>
    <row r="75" spans="1:11" s="3" customFormat="1" ht="38.25" customHeight="1" x14ac:dyDescent="0.25">
      <c r="A75" s="84" t="s">
        <v>157</v>
      </c>
      <c r="B75" s="85"/>
      <c r="C75" s="86"/>
      <c r="D75" s="95">
        <f>25*7500</f>
        <v>187500</v>
      </c>
      <c r="E75" s="112"/>
      <c r="F75" s="95">
        <f t="shared" si="3"/>
        <v>371000</v>
      </c>
      <c r="G75" s="113"/>
      <c r="H75" s="42">
        <v>183500</v>
      </c>
      <c r="I75" s="90" t="s">
        <v>164</v>
      </c>
      <c r="J75" s="91"/>
      <c r="K75" s="92"/>
    </row>
    <row r="76" spans="1:11" ht="27" customHeight="1" x14ac:dyDescent="0.25">
      <c r="A76" s="172" t="s">
        <v>38</v>
      </c>
      <c r="B76" s="179"/>
      <c r="C76" s="180"/>
      <c r="D76" s="54">
        <f>SUM(D77:E79)</f>
        <v>13800</v>
      </c>
      <c r="E76" s="55"/>
      <c r="F76" s="54">
        <f>SUM(F77:G79)</f>
        <v>13800</v>
      </c>
      <c r="G76" s="55"/>
      <c r="H76" s="45">
        <f>H79</f>
        <v>0</v>
      </c>
      <c r="I76" s="90"/>
      <c r="J76" s="91"/>
      <c r="K76" s="92"/>
    </row>
    <row r="77" spans="1:11" s="3" customFormat="1" ht="16.5" customHeight="1" x14ac:dyDescent="0.25">
      <c r="A77" s="84" t="s">
        <v>84</v>
      </c>
      <c r="B77" s="85"/>
      <c r="C77" s="86"/>
      <c r="D77" s="95">
        <f>4*2150</f>
        <v>8600</v>
      </c>
      <c r="E77" s="112"/>
      <c r="F77" s="95">
        <f>D77+H77</f>
        <v>8600</v>
      </c>
      <c r="G77" s="113"/>
      <c r="H77" s="42"/>
      <c r="I77" s="90"/>
      <c r="J77" s="91"/>
      <c r="K77" s="92"/>
    </row>
    <row r="78" spans="1:11" s="3" customFormat="1" ht="16.5" customHeight="1" x14ac:dyDescent="0.25">
      <c r="A78" s="84" t="s">
        <v>85</v>
      </c>
      <c r="B78" s="85"/>
      <c r="C78" s="86"/>
      <c r="D78" s="95">
        <f>30*120</f>
        <v>3600</v>
      </c>
      <c r="E78" s="112"/>
      <c r="F78" s="95">
        <f>D78+H78</f>
        <v>3600</v>
      </c>
      <c r="G78" s="113"/>
      <c r="H78" s="42"/>
      <c r="I78" s="90"/>
      <c r="J78" s="91"/>
      <c r="K78" s="92"/>
    </row>
    <row r="79" spans="1:11" s="3" customFormat="1" ht="16.5" customHeight="1" x14ac:dyDescent="0.25">
      <c r="A79" s="84" t="s">
        <v>153</v>
      </c>
      <c r="B79" s="85"/>
      <c r="C79" s="86"/>
      <c r="D79" s="95">
        <v>1600</v>
      </c>
      <c r="E79" s="112"/>
      <c r="F79" s="95">
        <f>D79+H79</f>
        <v>1600</v>
      </c>
      <c r="G79" s="113"/>
      <c r="H79" s="42"/>
      <c r="I79" s="90"/>
      <c r="J79" s="91"/>
      <c r="K79" s="92"/>
    </row>
    <row r="80" spans="1:11" ht="30.75" customHeight="1" x14ac:dyDescent="0.25">
      <c r="A80" s="172" t="s">
        <v>35</v>
      </c>
      <c r="B80" s="179"/>
      <c r="C80" s="180"/>
      <c r="D80" s="54">
        <f>SUM(D81:E82)</f>
        <v>27631.14</v>
      </c>
      <c r="E80" s="55"/>
      <c r="F80" s="54">
        <f>D80+H80</f>
        <v>27631.14</v>
      </c>
      <c r="G80" s="55"/>
      <c r="H80" s="45">
        <f>H81+H82</f>
        <v>0</v>
      </c>
      <c r="I80" s="90"/>
      <c r="J80" s="91"/>
      <c r="K80" s="92"/>
    </row>
    <row r="81" spans="1:11" s="3" customFormat="1" ht="95.25" customHeight="1" x14ac:dyDescent="0.25">
      <c r="A81" s="84" t="s">
        <v>86</v>
      </c>
      <c r="B81" s="85"/>
      <c r="C81" s="86"/>
      <c r="D81" s="95">
        <v>23081.14</v>
      </c>
      <c r="E81" s="112"/>
      <c r="F81" s="95">
        <f>D81+H81</f>
        <v>23081.14</v>
      </c>
      <c r="G81" s="113"/>
      <c r="H81" s="47"/>
      <c r="I81" s="90"/>
      <c r="J81" s="91"/>
      <c r="K81" s="92"/>
    </row>
    <row r="82" spans="1:11" s="3" customFormat="1" ht="104.25" customHeight="1" x14ac:dyDescent="0.25">
      <c r="A82" s="84" t="s">
        <v>92</v>
      </c>
      <c r="B82" s="85"/>
      <c r="C82" s="86"/>
      <c r="D82" s="95">
        <v>4550</v>
      </c>
      <c r="E82" s="112"/>
      <c r="F82" s="95">
        <f t="shared" ref="F82:F89" si="5">D82+H82</f>
        <v>4550</v>
      </c>
      <c r="G82" s="113"/>
      <c r="H82" s="47"/>
      <c r="I82" s="90"/>
      <c r="J82" s="91"/>
      <c r="K82" s="92"/>
    </row>
    <row r="83" spans="1:11" s="30" customFormat="1" ht="33" customHeight="1" x14ac:dyDescent="0.25">
      <c r="A83" s="105" t="s">
        <v>40</v>
      </c>
      <c r="B83" s="106"/>
      <c r="C83" s="107"/>
      <c r="D83" s="108">
        <v>43040.66</v>
      </c>
      <c r="E83" s="109"/>
      <c r="F83" s="108">
        <f t="shared" si="5"/>
        <v>43040.66</v>
      </c>
      <c r="G83" s="109"/>
      <c r="H83" s="42"/>
      <c r="I83" s="61"/>
      <c r="J83" s="110"/>
      <c r="K83" s="111"/>
    </row>
    <row r="84" spans="1:11" s="30" customFormat="1" ht="16.5" customHeight="1" x14ac:dyDescent="0.25">
      <c r="A84" s="67" t="s">
        <v>116</v>
      </c>
      <c r="B84" s="68"/>
      <c r="C84" s="69"/>
      <c r="D84" s="59">
        <v>8400</v>
      </c>
      <c r="E84" s="60"/>
      <c r="F84" s="59">
        <f t="shared" si="5"/>
        <v>8400</v>
      </c>
      <c r="G84" s="60"/>
      <c r="H84" s="42"/>
      <c r="I84" s="206"/>
      <c r="J84" s="207"/>
      <c r="K84" s="208"/>
    </row>
    <row r="85" spans="1:11" s="30" customFormat="1" ht="16.5" customHeight="1" x14ac:dyDescent="0.25">
      <c r="A85" s="67" t="s">
        <v>117</v>
      </c>
      <c r="B85" s="93"/>
      <c r="C85" s="94"/>
      <c r="D85" s="59">
        <v>10080</v>
      </c>
      <c r="E85" s="60"/>
      <c r="F85" s="59">
        <f t="shared" si="5"/>
        <v>10080</v>
      </c>
      <c r="G85" s="60"/>
      <c r="H85" s="42"/>
      <c r="I85" s="209"/>
      <c r="J85" s="210"/>
      <c r="K85" s="211"/>
    </row>
    <row r="86" spans="1:11" s="30" customFormat="1" ht="16.5" customHeight="1" x14ac:dyDescent="0.25">
      <c r="A86" s="67" t="s">
        <v>118</v>
      </c>
      <c r="B86" s="68"/>
      <c r="C86" s="69"/>
      <c r="D86" s="59">
        <v>13440</v>
      </c>
      <c r="E86" s="60"/>
      <c r="F86" s="59">
        <f t="shared" si="5"/>
        <v>13440</v>
      </c>
      <c r="G86" s="60"/>
      <c r="H86" s="42"/>
      <c r="I86" s="209"/>
      <c r="J86" s="210"/>
      <c r="K86" s="211"/>
    </row>
    <row r="87" spans="1:11" s="30" customFormat="1" ht="16.5" customHeight="1" x14ac:dyDescent="0.25">
      <c r="A87" s="67" t="s">
        <v>119</v>
      </c>
      <c r="B87" s="68"/>
      <c r="C87" s="69"/>
      <c r="D87" s="59">
        <v>6720</v>
      </c>
      <c r="E87" s="60"/>
      <c r="F87" s="59">
        <f t="shared" si="5"/>
        <v>6720</v>
      </c>
      <c r="G87" s="60"/>
      <c r="H87" s="42"/>
      <c r="I87" s="209"/>
      <c r="J87" s="210"/>
      <c r="K87" s="211"/>
    </row>
    <row r="88" spans="1:11" s="30" customFormat="1" ht="16.5" customHeight="1" x14ac:dyDescent="0.25">
      <c r="A88" s="67" t="s">
        <v>91</v>
      </c>
      <c r="B88" s="68"/>
      <c r="C88" s="69"/>
      <c r="D88" s="59">
        <v>800.66</v>
      </c>
      <c r="E88" s="60"/>
      <c r="F88" s="59">
        <f t="shared" si="5"/>
        <v>800.66</v>
      </c>
      <c r="G88" s="60"/>
      <c r="H88" s="42"/>
      <c r="I88" s="209"/>
      <c r="J88" s="210"/>
      <c r="K88" s="211"/>
    </row>
    <row r="89" spans="1:11" s="30" customFormat="1" ht="16.5" customHeight="1" x14ac:dyDescent="0.25">
      <c r="A89" s="67" t="s">
        <v>120</v>
      </c>
      <c r="B89" s="68"/>
      <c r="C89" s="69"/>
      <c r="D89" s="59">
        <v>3600</v>
      </c>
      <c r="E89" s="60"/>
      <c r="F89" s="59">
        <f t="shared" si="5"/>
        <v>3600</v>
      </c>
      <c r="G89" s="60"/>
      <c r="H89" s="42"/>
      <c r="I89" s="212"/>
      <c r="J89" s="213"/>
      <c r="K89" s="214"/>
    </row>
    <row r="90" spans="1:11" s="3" customFormat="1" x14ac:dyDescent="0.25">
      <c r="A90" s="64" t="s">
        <v>11</v>
      </c>
      <c r="B90" s="64"/>
      <c r="C90" s="64"/>
      <c r="D90" s="65">
        <f>D29+D30+D31+D36+D40+D52+D67+D69+D71+D72+D76+D80+D83</f>
        <v>9945281</v>
      </c>
      <c r="E90" s="66"/>
      <c r="F90" s="65">
        <f>F29+F30+F31+F36+F40+F52+F67+F69+F71+F72+F76+F80+F83</f>
        <v>10266198</v>
      </c>
      <c r="G90" s="66"/>
      <c r="H90" s="38">
        <f>H29+H30+H31+H36+H40+H52+H67+H69+H71+H72+H76+H80+H83</f>
        <v>320917</v>
      </c>
      <c r="I90" s="50"/>
      <c r="J90" s="50"/>
      <c r="K90" s="50"/>
    </row>
    <row r="91" spans="1:11" s="3" customFormat="1" x14ac:dyDescent="0.25">
      <c r="A91" s="8"/>
      <c r="B91" s="8"/>
      <c r="C91" s="8"/>
      <c r="D91" s="9"/>
      <c r="E91" s="9"/>
      <c r="F91" s="9"/>
      <c r="G91" s="9"/>
      <c r="H91" s="9"/>
    </row>
    <row r="92" spans="1:11" ht="16.5" customHeight="1" x14ac:dyDescent="0.25">
      <c r="A92" s="76" t="s">
        <v>49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</row>
    <row r="94" spans="1:11" x14ac:dyDescent="0.25">
      <c r="A94" s="50"/>
      <c r="B94" s="50"/>
      <c r="C94" s="50"/>
      <c r="D94" s="71" t="s">
        <v>5</v>
      </c>
      <c r="E94" s="71"/>
      <c r="F94" s="71" t="s">
        <v>6</v>
      </c>
      <c r="G94" s="71"/>
      <c r="H94" s="24" t="s">
        <v>14</v>
      </c>
      <c r="I94" s="72" t="s">
        <v>13</v>
      </c>
      <c r="J94" s="73"/>
      <c r="K94" s="74"/>
    </row>
    <row r="95" spans="1:11" ht="18" customHeight="1" x14ac:dyDescent="0.25">
      <c r="A95" s="121" t="s">
        <v>15</v>
      </c>
      <c r="B95" s="121"/>
      <c r="C95" s="121"/>
      <c r="D95" s="54">
        <v>366885.77</v>
      </c>
      <c r="E95" s="55"/>
      <c r="F95" s="54">
        <f>D95+H95</f>
        <v>366885.77</v>
      </c>
      <c r="G95" s="55"/>
      <c r="H95" s="45"/>
      <c r="I95" s="206"/>
      <c r="J95" s="207"/>
      <c r="K95" s="208"/>
    </row>
    <row r="96" spans="1:11" ht="18" customHeight="1" x14ac:dyDescent="0.25">
      <c r="A96" s="51" t="s">
        <v>16</v>
      </c>
      <c r="B96" s="52"/>
      <c r="C96" s="53"/>
      <c r="D96" s="54">
        <v>110799.5</v>
      </c>
      <c r="E96" s="55"/>
      <c r="F96" s="54">
        <f>D96+H96</f>
        <v>110799.5</v>
      </c>
      <c r="G96" s="55"/>
      <c r="H96" s="45"/>
      <c r="I96" s="215"/>
      <c r="J96" s="216"/>
      <c r="K96" s="217"/>
    </row>
    <row r="97" spans="1:11" ht="18" customHeight="1" x14ac:dyDescent="0.25">
      <c r="A97" s="51" t="s">
        <v>25</v>
      </c>
      <c r="B97" s="52"/>
      <c r="C97" s="53"/>
      <c r="D97" s="54">
        <f>SUM(D98:E99)</f>
        <v>31253.48</v>
      </c>
      <c r="E97" s="187"/>
      <c r="F97" s="54">
        <f t="shared" ref="F97" si="6">D97+H97</f>
        <v>31253.48</v>
      </c>
      <c r="G97" s="187"/>
      <c r="H97" s="39"/>
      <c r="I97" s="97"/>
      <c r="J97" s="98"/>
      <c r="K97" s="99"/>
    </row>
    <row r="98" spans="1:11" ht="16.5" customHeight="1" x14ac:dyDescent="0.25">
      <c r="A98" s="84" t="s">
        <v>46</v>
      </c>
      <c r="B98" s="85"/>
      <c r="C98" s="86"/>
      <c r="D98" s="95">
        <v>29372.880000000001</v>
      </c>
      <c r="E98" s="112"/>
      <c r="F98" s="95">
        <f>D98+H98</f>
        <v>29372.880000000001</v>
      </c>
      <c r="G98" s="112"/>
      <c r="H98" s="42"/>
      <c r="I98" s="90"/>
      <c r="J98" s="91"/>
      <c r="K98" s="92"/>
    </row>
    <row r="99" spans="1:11" ht="16.5" customHeight="1" x14ac:dyDescent="0.25">
      <c r="A99" s="84" t="s">
        <v>24</v>
      </c>
      <c r="B99" s="85"/>
      <c r="C99" s="86"/>
      <c r="D99" s="95">
        <f>1880.34+0.26</f>
        <v>1880.6</v>
      </c>
      <c r="E99" s="112"/>
      <c r="F99" s="95">
        <f>D99+H99</f>
        <v>1880.6</v>
      </c>
      <c r="G99" s="112"/>
      <c r="H99" s="42"/>
      <c r="I99" s="90"/>
      <c r="J99" s="91"/>
      <c r="K99" s="92"/>
    </row>
    <row r="100" spans="1:11" ht="17.25" customHeight="1" x14ac:dyDescent="0.25">
      <c r="A100" s="51" t="s">
        <v>26</v>
      </c>
      <c r="B100" s="52"/>
      <c r="C100" s="53"/>
      <c r="D100" s="54">
        <v>35000</v>
      </c>
      <c r="E100" s="55"/>
      <c r="F100" s="54">
        <f>D100+H100</f>
        <v>35000</v>
      </c>
      <c r="G100" s="55"/>
      <c r="H100" s="45"/>
      <c r="I100" s="90"/>
      <c r="J100" s="91"/>
      <c r="K100" s="92"/>
    </row>
    <row r="101" spans="1:11" s="3" customFormat="1" ht="16.5" customHeight="1" x14ac:dyDescent="0.25">
      <c r="A101" s="51" t="s">
        <v>17</v>
      </c>
      <c r="B101" s="52"/>
      <c r="C101" s="53"/>
      <c r="D101" s="149">
        <v>79275</v>
      </c>
      <c r="E101" s="150"/>
      <c r="F101" s="149">
        <f>H101+D101</f>
        <v>79275</v>
      </c>
      <c r="G101" s="150"/>
      <c r="H101" s="39"/>
      <c r="I101" s="151"/>
      <c r="J101" s="151"/>
      <c r="K101" s="151"/>
    </row>
    <row r="102" spans="1:11" s="3" customFormat="1" ht="17.25" customHeight="1" x14ac:dyDescent="0.25">
      <c r="A102" s="67" t="s">
        <v>126</v>
      </c>
      <c r="B102" s="68"/>
      <c r="C102" s="69"/>
      <c r="D102" s="95">
        <v>79275</v>
      </c>
      <c r="E102" s="112"/>
      <c r="F102" s="95">
        <f>H102+D102</f>
        <v>79275</v>
      </c>
      <c r="G102" s="113"/>
      <c r="H102" s="49"/>
      <c r="I102" s="90"/>
      <c r="J102" s="91"/>
      <c r="K102" s="92"/>
    </row>
    <row r="103" spans="1:11" ht="16.5" customHeight="1" x14ac:dyDescent="0.25">
      <c r="A103" s="51" t="s">
        <v>20</v>
      </c>
      <c r="B103" s="52"/>
      <c r="C103" s="53"/>
      <c r="D103" s="54">
        <f>SUM(D104:E105)</f>
        <v>180000</v>
      </c>
      <c r="E103" s="55"/>
      <c r="F103" s="54">
        <f t="shared" ref="F103:F109" si="7">D103+H103</f>
        <v>180000</v>
      </c>
      <c r="G103" s="55"/>
      <c r="H103" s="39">
        <f>SUM(H104:H104)</f>
        <v>0</v>
      </c>
      <c r="I103" s="50"/>
      <c r="J103" s="50"/>
      <c r="K103" s="50"/>
    </row>
    <row r="104" spans="1:11" s="3" customFormat="1" ht="21" customHeight="1" x14ac:dyDescent="0.25">
      <c r="A104" s="84" t="s">
        <v>93</v>
      </c>
      <c r="B104" s="85"/>
      <c r="C104" s="86"/>
      <c r="D104" s="95">
        <v>168000</v>
      </c>
      <c r="E104" s="112"/>
      <c r="F104" s="95">
        <f t="shared" si="7"/>
        <v>168000</v>
      </c>
      <c r="G104" s="96"/>
      <c r="H104" s="42"/>
      <c r="I104" s="90"/>
      <c r="J104" s="91"/>
      <c r="K104" s="92"/>
    </row>
    <row r="105" spans="1:11" s="3" customFormat="1" ht="16.5" customHeight="1" x14ac:dyDescent="0.25">
      <c r="A105" s="84" t="s">
        <v>104</v>
      </c>
      <c r="B105" s="85"/>
      <c r="C105" s="86"/>
      <c r="D105" s="95">
        <v>12000</v>
      </c>
      <c r="E105" s="112"/>
      <c r="F105" s="95">
        <f t="shared" si="7"/>
        <v>12000</v>
      </c>
      <c r="G105" s="96"/>
      <c r="H105" s="46"/>
      <c r="I105" s="97"/>
      <c r="J105" s="98"/>
      <c r="K105" s="99"/>
    </row>
    <row r="106" spans="1:11" ht="16.5" customHeight="1" x14ac:dyDescent="0.25">
      <c r="A106" s="51" t="s">
        <v>63</v>
      </c>
      <c r="B106" s="52"/>
      <c r="C106" s="53"/>
      <c r="D106" s="54">
        <f>D107</f>
        <v>0</v>
      </c>
      <c r="E106" s="55"/>
      <c r="F106" s="54">
        <f t="shared" si="7"/>
        <v>0</v>
      </c>
      <c r="G106" s="55"/>
      <c r="H106" s="39">
        <f>SUM(H107:H107)</f>
        <v>0</v>
      </c>
      <c r="I106" s="50"/>
      <c r="J106" s="50"/>
      <c r="K106" s="50"/>
    </row>
    <row r="107" spans="1:11" s="3" customFormat="1" ht="19.5" customHeight="1" x14ac:dyDescent="0.25">
      <c r="A107" s="84" t="s">
        <v>105</v>
      </c>
      <c r="B107" s="85"/>
      <c r="C107" s="86"/>
      <c r="D107" s="95">
        <v>0</v>
      </c>
      <c r="E107" s="112"/>
      <c r="F107" s="95">
        <f t="shared" si="7"/>
        <v>0</v>
      </c>
      <c r="G107" s="96"/>
      <c r="H107" s="42"/>
      <c r="I107" s="90"/>
      <c r="J107" s="91"/>
      <c r="K107" s="92"/>
    </row>
    <row r="108" spans="1:11" ht="32.25" customHeight="1" x14ac:dyDescent="0.25">
      <c r="A108" s="172" t="s">
        <v>39</v>
      </c>
      <c r="B108" s="173"/>
      <c r="C108" s="174"/>
      <c r="D108" s="100">
        <f>D109</f>
        <v>150000</v>
      </c>
      <c r="E108" s="175"/>
      <c r="F108" s="100">
        <f t="shared" si="7"/>
        <v>150000</v>
      </c>
      <c r="G108" s="101"/>
      <c r="H108" s="45">
        <f>H111</f>
        <v>0</v>
      </c>
      <c r="I108" s="102"/>
      <c r="J108" s="103"/>
      <c r="K108" s="104"/>
    </row>
    <row r="109" spans="1:11" s="3" customFormat="1" ht="16.5" customHeight="1" x14ac:dyDescent="0.25">
      <c r="A109" s="84" t="s">
        <v>94</v>
      </c>
      <c r="B109" s="85"/>
      <c r="C109" s="86"/>
      <c r="D109" s="95">
        <f>20*7500</f>
        <v>150000</v>
      </c>
      <c r="E109" s="112"/>
      <c r="F109" s="95">
        <f t="shared" si="7"/>
        <v>150000</v>
      </c>
      <c r="G109" s="113"/>
      <c r="H109" s="41"/>
      <c r="I109" s="97"/>
      <c r="J109" s="98"/>
      <c r="K109" s="99"/>
    </row>
    <row r="110" spans="1:11" ht="34.5" customHeight="1" x14ac:dyDescent="0.25">
      <c r="A110" s="172" t="s">
        <v>35</v>
      </c>
      <c r="B110" s="179"/>
      <c r="C110" s="180"/>
      <c r="D110" s="54">
        <f>D111</f>
        <v>25890.91</v>
      </c>
      <c r="E110" s="55"/>
      <c r="F110" s="54">
        <f>F111</f>
        <v>25890.91</v>
      </c>
      <c r="G110" s="55"/>
      <c r="H110" s="45">
        <f>H111</f>
        <v>0</v>
      </c>
      <c r="I110" s="90"/>
      <c r="J110" s="91"/>
      <c r="K110" s="92"/>
    </row>
    <row r="111" spans="1:11" s="3" customFormat="1" ht="76.5" customHeight="1" x14ac:dyDescent="0.25">
      <c r="A111" s="67" t="s">
        <v>122</v>
      </c>
      <c r="B111" s="68"/>
      <c r="C111" s="69"/>
      <c r="D111" s="95">
        <v>25890.91</v>
      </c>
      <c r="E111" s="112"/>
      <c r="F111" s="95">
        <f>D111+H111</f>
        <v>25890.91</v>
      </c>
      <c r="G111" s="113"/>
      <c r="H111" s="42"/>
      <c r="I111" s="90"/>
      <c r="J111" s="91"/>
      <c r="K111" s="92"/>
    </row>
    <row r="112" spans="1:11" x14ac:dyDescent="0.25">
      <c r="A112" s="64" t="s">
        <v>11</v>
      </c>
      <c r="B112" s="64"/>
      <c r="C112" s="64"/>
      <c r="D112" s="65">
        <f>D95+D96+D97+D100+D101+D103+D106+D108+D110</f>
        <v>979104.66</v>
      </c>
      <c r="E112" s="66"/>
      <c r="F112" s="65">
        <f>F95+F96+F97+F100+F101+F103+F106+F108+F110</f>
        <v>979104.66</v>
      </c>
      <c r="G112" s="66"/>
      <c r="H112" s="38">
        <f>H95+H96+H97+H100+H101+H103+H106+H108</f>
        <v>0</v>
      </c>
      <c r="I112" s="50"/>
      <c r="J112" s="50"/>
      <c r="K112" s="50"/>
    </row>
    <row r="113" spans="1:11" ht="12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1:11" x14ac:dyDescent="0.25">
      <c r="A114" s="75" t="s">
        <v>50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</row>
    <row r="115" spans="1:11" ht="8.25" customHeight="1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</row>
    <row r="116" spans="1:11" x14ac:dyDescent="0.25">
      <c r="A116" s="50"/>
      <c r="B116" s="50"/>
      <c r="C116" s="50"/>
      <c r="D116" s="71" t="s">
        <v>5</v>
      </c>
      <c r="E116" s="71"/>
      <c r="F116" s="71" t="s">
        <v>6</v>
      </c>
      <c r="G116" s="71"/>
      <c r="H116" s="24" t="s">
        <v>14</v>
      </c>
      <c r="I116" s="72" t="s">
        <v>13</v>
      </c>
      <c r="J116" s="73"/>
      <c r="K116" s="74"/>
    </row>
    <row r="117" spans="1:11" ht="18.75" customHeight="1" x14ac:dyDescent="0.25">
      <c r="A117" s="51" t="s">
        <v>19</v>
      </c>
      <c r="B117" s="52"/>
      <c r="C117" s="53"/>
      <c r="D117" s="54">
        <f>SUM(D118:E122)</f>
        <v>1340730</v>
      </c>
      <c r="E117" s="55"/>
      <c r="F117" s="54">
        <f>F118+F119+F120+F121+F122</f>
        <v>1340730</v>
      </c>
      <c r="G117" s="55"/>
      <c r="H117" s="13"/>
      <c r="I117" s="56"/>
      <c r="J117" s="57"/>
      <c r="K117" s="58"/>
    </row>
    <row r="118" spans="1:11" ht="30" customHeight="1" x14ac:dyDescent="0.25">
      <c r="A118" s="84" t="s">
        <v>95</v>
      </c>
      <c r="B118" s="152"/>
      <c r="C118" s="153"/>
      <c r="D118" s="95">
        <v>208263.4</v>
      </c>
      <c r="E118" s="113"/>
      <c r="F118" s="95">
        <f t="shared" ref="F118" si="8">D118+H118</f>
        <v>208263.4</v>
      </c>
      <c r="G118" s="113"/>
      <c r="H118" s="15"/>
      <c r="I118" s="167"/>
      <c r="J118" s="168"/>
      <c r="K118" s="169"/>
    </row>
    <row r="119" spans="1:11" ht="30" customHeight="1" x14ac:dyDescent="0.25">
      <c r="A119" s="84" t="s">
        <v>96</v>
      </c>
      <c r="B119" s="170"/>
      <c r="C119" s="171"/>
      <c r="D119" s="95">
        <v>99743</v>
      </c>
      <c r="E119" s="112"/>
      <c r="F119" s="95">
        <f>D119+H119</f>
        <v>0</v>
      </c>
      <c r="G119" s="112"/>
      <c r="H119" s="15">
        <v>-99743</v>
      </c>
      <c r="I119" s="227" t="s">
        <v>152</v>
      </c>
      <c r="J119" s="228"/>
      <c r="K119" s="229"/>
    </row>
    <row r="120" spans="1:11" ht="30" customHeight="1" x14ac:dyDescent="0.25">
      <c r="A120" s="84" t="s">
        <v>150</v>
      </c>
      <c r="B120" s="170"/>
      <c r="C120" s="171"/>
      <c r="D120" s="95"/>
      <c r="E120" s="112"/>
      <c r="F120" s="95">
        <f>D120+H120</f>
        <v>99743</v>
      </c>
      <c r="G120" s="112"/>
      <c r="H120" s="15">
        <v>99743</v>
      </c>
      <c r="I120" s="230"/>
      <c r="J120" s="231"/>
      <c r="K120" s="232"/>
    </row>
    <row r="121" spans="1:11" ht="21" customHeight="1" x14ac:dyDescent="0.25">
      <c r="A121" s="84" t="s">
        <v>106</v>
      </c>
      <c r="B121" s="170"/>
      <c r="C121" s="171"/>
      <c r="D121" s="95">
        <f>537000+495723.6</f>
        <v>1032723.6</v>
      </c>
      <c r="E121" s="112"/>
      <c r="F121" s="95">
        <f>D121+H121</f>
        <v>547343.31999999995</v>
      </c>
      <c r="G121" s="112"/>
      <c r="H121" s="15">
        <v>-485380.28</v>
      </c>
      <c r="I121" s="56"/>
      <c r="J121" s="57"/>
      <c r="K121" s="58"/>
    </row>
    <row r="122" spans="1:11" ht="24.75" customHeight="1" x14ac:dyDescent="0.25">
      <c r="A122" s="84" t="s">
        <v>151</v>
      </c>
      <c r="B122" s="170"/>
      <c r="C122" s="171"/>
      <c r="D122" s="95"/>
      <c r="E122" s="112"/>
      <c r="F122" s="95">
        <f>D122+H122</f>
        <v>485380.28</v>
      </c>
      <c r="G122" s="112"/>
      <c r="H122" s="15">
        <v>485380.28</v>
      </c>
      <c r="I122" s="56"/>
      <c r="J122" s="57"/>
      <c r="K122" s="58"/>
    </row>
    <row r="123" spans="1:11" x14ac:dyDescent="0.25">
      <c r="A123" s="64" t="s">
        <v>11</v>
      </c>
      <c r="B123" s="64"/>
      <c r="C123" s="64"/>
      <c r="D123" s="65">
        <f>D117</f>
        <v>1340730</v>
      </c>
      <c r="E123" s="66"/>
      <c r="F123" s="65">
        <f>F117</f>
        <v>1340730</v>
      </c>
      <c r="G123" s="66"/>
      <c r="H123" s="28"/>
      <c r="I123" s="50"/>
      <c r="J123" s="50"/>
      <c r="K123" s="50"/>
    </row>
    <row r="124" spans="1:11" ht="45" customHeight="1" x14ac:dyDescent="0.25">
      <c r="A124" s="166" t="s">
        <v>27</v>
      </c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</row>
    <row r="125" spans="1:11" ht="30.75" customHeight="1" x14ac:dyDescent="0.25">
      <c r="A125" s="166" t="s">
        <v>97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</row>
    <row r="126" spans="1:11" ht="20.2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1:11" ht="20.2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 ht="15" customHeight="1" x14ac:dyDescent="0.25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</row>
    <row r="129" spans="1:11" ht="134.25" customHeight="1" x14ac:dyDescent="0.25">
      <c r="A129" s="189" t="s">
        <v>110</v>
      </c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</row>
    <row r="130" spans="1:11" x14ac:dyDescent="0.25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</row>
    <row r="131" spans="1:11" x14ac:dyDescent="0.25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</row>
    <row r="132" spans="1:11" x14ac:dyDescent="0.25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</row>
    <row r="133" spans="1:11" x14ac:dyDescent="0.25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</row>
    <row r="134" spans="1:11" x14ac:dyDescent="0.25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</row>
    <row r="135" spans="1:11" x14ac:dyDescent="0.2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</row>
    <row r="136" spans="1:11" x14ac:dyDescent="0.25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</row>
    <row r="137" spans="1:11" x14ac:dyDescent="0.25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</row>
    <row r="138" spans="1:11" x14ac:dyDescent="0.25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</row>
  </sheetData>
  <mergeCells count="408">
    <mergeCell ref="A134:K134"/>
    <mergeCell ref="A135:K135"/>
    <mergeCell ref="A136:K136"/>
    <mergeCell ref="A137:K137"/>
    <mergeCell ref="A138:K138"/>
    <mergeCell ref="A128:K128"/>
    <mergeCell ref="A129:K129"/>
    <mergeCell ref="A130:K130"/>
    <mergeCell ref="A131:K131"/>
    <mergeCell ref="A132:K132"/>
    <mergeCell ref="A133:K133"/>
    <mergeCell ref="A123:C123"/>
    <mergeCell ref="D123:E123"/>
    <mergeCell ref="F123:G123"/>
    <mergeCell ref="I123:K123"/>
    <mergeCell ref="A124:K124"/>
    <mergeCell ref="A125:K125"/>
    <mergeCell ref="A119:C119"/>
    <mergeCell ref="D119:E119"/>
    <mergeCell ref="F119:G119"/>
    <mergeCell ref="A122:C122"/>
    <mergeCell ref="D122:E122"/>
    <mergeCell ref="F122:G122"/>
    <mergeCell ref="I122:K122"/>
    <mergeCell ref="A121:C121"/>
    <mergeCell ref="D121:E121"/>
    <mergeCell ref="F121:G121"/>
    <mergeCell ref="I121:K121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20:C120"/>
    <mergeCell ref="D120:E120"/>
    <mergeCell ref="F120:G120"/>
    <mergeCell ref="I119:K120"/>
    <mergeCell ref="A114:K114"/>
    <mergeCell ref="A115:K115"/>
    <mergeCell ref="A116:C116"/>
    <mergeCell ref="D116:E116"/>
    <mergeCell ref="F116:G116"/>
    <mergeCell ref="I116:K116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6"/>
    <mergeCell ref="A96:C96"/>
    <mergeCell ref="D96:E96"/>
    <mergeCell ref="F96:G96"/>
    <mergeCell ref="I90:K90"/>
    <mergeCell ref="A92:K92"/>
    <mergeCell ref="A94:C94"/>
    <mergeCell ref="D94:E94"/>
    <mergeCell ref="F94:G94"/>
    <mergeCell ref="I94:K94"/>
    <mergeCell ref="A89:C89"/>
    <mergeCell ref="D89:E89"/>
    <mergeCell ref="F89:G89"/>
    <mergeCell ref="A90:C90"/>
    <mergeCell ref="D90:E90"/>
    <mergeCell ref="F90:G90"/>
    <mergeCell ref="I84:K89"/>
    <mergeCell ref="A87:C87"/>
    <mergeCell ref="D87:E87"/>
    <mergeCell ref="F87:G87"/>
    <mergeCell ref="A88:C88"/>
    <mergeCell ref="D88:E88"/>
    <mergeCell ref="F88:G88"/>
    <mergeCell ref="A84:C84"/>
    <mergeCell ref="D84:E84"/>
    <mergeCell ref="F84:G84"/>
    <mergeCell ref="A85:C85"/>
    <mergeCell ref="D85:E85"/>
    <mergeCell ref="F85:G85"/>
    <mergeCell ref="A86:C86"/>
    <mergeCell ref="D86:E86"/>
    <mergeCell ref="F86:G86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3:C63"/>
    <mergeCell ref="D63:E63"/>
    <mergeCell ref="F63:G63"/>
    <mergeCell ref="I63:K63"/>
    <mergeCell ref="A65:C65"/>
    <mergeCell ref="D65:E65"/>
    <mergeCell ref="F65:G65"/>
    <mergeCell ref="I65:K65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4:C34"/>
    <mergeCell ref="D34:E34"/>
    <mergeCell ref="F34:G34"/>
    <mergeCell ref="I34:K34"/>
    <mergeCell ref="F30:G30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30"/>
    <mergeCell ref="A30:C30"/>
    <mergeCell ref="D30:E30"/>
    <mergeCell ref="A33:C33"/>
    <mergeCell ref="D33:E33"/>
    <mergeCell ref="F33:G33"/>
    <mergeCell ref="I33:K33"/>
    <mergeCell ref="A19:C19"/>
    <mergeCell ref="D19:E19"/>
    <mergeCell ref="F19:G19"/>
    <mergeCell ref="H19:J19"/>
    <mergeCell ref="A28:C28"/>
    <mergeCell ref="D28:E28"/>
    <mergeCell ref="F28:G28"/>
    <mergeCell ref="I28:K28"/>
    <mergeCell ref="A26:J26"/>
    <mergeCell ref="A20:C20"/>
    <mergeCell ref="D20:E20"/>
    <mergeCell ref="F20:G20"/>
    <mergeCell ref="H20:J20"/>
    <mergeCell ref="A21:C21"/>
    <mergeCell ref="D21:E21"/>
    <mergeCell ref="F21:G21"/>
    <mergeCell ref="H21:J21"/>
    <mergeCell ref="A22:C22"/>
    <mergeCell ref="D22:E22"/>
    <mergeCell ref="F22:G22"/>
    <mergeCell ref="H22:J22"/>
    <mergeCell ref="A24:J24"/>
    <mergeCell ref="A18:C18"/>
    <mergeCell ref="D18:E18"/>
    <mergeCell ref="F18:G18"/>
    <mergeCell ref="H18:J18"/>
    <mergeCell ref="A2:J2"/>
    <mergeCell ref="A3:J3"/>
    <mergeCell ref="A4:J4"/>
    <mergeCell ref="A5:J5"/>
    <mergeCell ref="A6:J6"/>
    <mergeCell ref="A17:C17"/>
    <mergeCell ref="D17:E17"/>
    <mergeCell ref="F17:G17"/>
    <mergeCell ref="H17:J17"/>
    <mergeCell ref="A12:J12"/>
    <mergeCell ref="A13:J13"/>
    <mergeCell ref="A14:J14"/>
    <mergeCell ref="A15:J15"/>
    <mergeCell ref="A7:J7"/>
    <mergeCell ref="A8:I8"/>
    <mergeCell ref="A9:I9"/>
    <mergeCell ref="A10:J10"/>
    <mergeCell ref="A11:J11"/>
  </mergeCells>
  <pageMargins left="0.70866141732283472" right="0" top="0.94488188976377963" bottom="0.55118110236220474" header="0.31496062992125984" footer="0.31496062992125984"/>
  <pageSetup paperSize="9" scale="73" fitToHeight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51"/>
  <sheetViews>
    <sheetView topLeftCell="A85" workbookViewId="0">
      <selection activeCell="I106" sqref="I106:K106"/>
    </sheetView>
  </sheetViews>
  <sheetFormatPr defaultRowHeight="15" x14ac:dyDescent="0.25"/>
  <cols>
    <col min="1" max="1" width="15.140625" customWidth="1"/>
    <col min="2" max="2" width="14.28515625" customWidth="1"/>
    <col min="3" max="3" width="15.8554687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114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114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114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 x14ac:dyDescent="0.25">
      <c r="A5" s="114"/>
      <c r="B5" s="70"/>
      <c r="C5" s="70"/>
      <c r="D5" s="70"/>
      <c r="E5" s="70"/>
      <c r="F5" s="70"/>
      <c r="G5" s="70"/>
      <c r="H5" s="70"/>
      <c r="I5" s="70"/>
    </row>
    <row r="6" spans="1:10" x14ac:dyDescent="0.25">
      <c r="A6" s="223" t="s">
        <v>182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10" ht="15.75" x14ac:dyDescent="0.25">
      <c r="A7" s="114"/>
      <c r="B7" s="70"/>
      <c r="C7" s="70"/>
      <c r="D7" s="70"/>
      <c r="E7" s="70"/>
      <c r="F7" s="70"/>
      <c r="G7" s="70"/>
      <c r="H7" s="70"/>
      <c r="I7" s="70"/>
      <c r="J7" s="70"/>
    </row>
    <row r="8" spans="1:10" ht="46.5" customHeight="1" x14ac:dyDescent="0.25">
      <c r="A8" s="129" t="s">
        <v>3</v>
      </c>
      <c r="B8" s="130"/>
      <c r="C8" s="130"/>
      <c r="D8" s="130"/>
      <c r="E8" s="130"/>
      <c r="F8" s="130"/>
      <c r="G8" s="130"/>
      <c r="H8" s="130"/>
      <c r="I8" s="130"/>
      <c r="J8" s="70"/>
    </row>
    <row r="9" spans="1:10" ht="7.5" customHeight="1" x14ac:dyDescent="0.25">
      <c r="A9" s="114"/>
      <c r="B9" s="70"/>
      <c r="C9" s="70"/>
      <c r="D9" s="70"/>
      <c r="E9" s="70"/>
      <c r="F9" s="70"/>
      <c r="G9" s="70"/>
      <c r="H9" s="70"/>
      <c r="I9" s="70"/>
    </row>
    <row r="10" spans="1:10" ht="137.25" customHeight="1" x14ac:dyDescent="0.3">
      <c r="A10" s="194" t="s">
        <v>149</v>
      </c>
      <c r="B10" s="195"/>
      <c r="C10" s="195"/>
      <c r="D10" s="195"/>
      <c r="E10" s="195"/>
      <c r="F10" s="195"/>
      <c r="G10" s="195"/>
      <c r="H10" s="195"/>
      <c r="I10" s="195"/>
      <c r="J10" s="19"/>
    </row>
    <row r="11" spans="1:10" ht="18" customHeight="1" x14ac:dyDescent="0.25">
      <c r="A11" s="126" t="s">
        <v>125</v>
      </c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ht="49.5" customHeight="1" x14ac:dyDescent="0.25">
      <c r="A12" s="126" t="s">
        <v>194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ht="15.75" x14ac:dyDescent="0.25">
      <c r="A13" s="131" t="s">
        <v>30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ht="50.25" customHeight="1" x14ac:dyDescent="0.25">
      <c r="A14" s="203" t="s">
        <v>195</v>
      </c>
      <c r="B14" s="130"/>
      <c r="C14" s="130"/>
      <c r="D14" s="130"/>
      <c r="E14" s="130"/>
      <c r="F14" s="130"/>
      <c r="G14" s="130"/>
      <c r="H14" s="130"/>
      <c r="I14" s="130"/>
      <c r="J14" s="70"/>
    </row>
    <row r="15" spans="1:10" ht="12.7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15.75" x14ac:dyDescent="0.25">
      <c r="A16" s="114" t="s">
        <v>4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1" ht="15.75" x14ac:dyDescent="0.25">
      <c r="A17" s="115" t="s">
        <v>181</v>
      </c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1" ht="15.75" x14ac:dyDescent="0.25">
      <c r="A18" s="2"/>
    </row>
    <row r="19" spans="1:11" ht="15.75" x14ac:dyDescent="0.25">
      <c r="A19" s="117"/>
      <c r="B19" s="118"/>
      <c r="C19" s="118"/>
      <c r="D19" s="71" t="s">
        <v>21</v>
      </c>
      <c r="E19" s="71"/>
      <c r="F19" s="71" t="s">
        <v>6</v>
      </c>
      <c r="G19" s="71"/>
      <c r="H19" s="117" t="s">
        <v>14</v>
      </c>
      <c r="I19" s="71"/>
      <c r="J19" s="71"/>
    </row>
    <row r="20" spans="1:11" ht="30" customHeight="1" x14ac:dyDescent="0.25">
      <c r="A20" s="137" t="s">
        <v>7</v>
      </c>
      <c r="B20" s="138"/>
      <c r="C20" s="138"/>
      <c r="D20" s="139">
        <v>10266198</v>
      </c>
      <c r="E20" s="139"/>
      <c r="F20" s="139">
        <f>D20+H20</f>
        <v>10266198</v>
      </c>
      <c r="G20" s="139"/>
      <c r="H20" s="222"/>
      <c r="I20" s="222"/>
      <c r="J20" s="222"/>
    </row>
    <row r="21" spans="1:11" x14ac:dyDescent="0.25">
      <c r="A21" s="137" t="s">
        <v>8</v>
      </c>
      <c r="B21" s="138"/>
      <c r="C21" s="138"/>
      <c r="D21" s="139">
        <f>308006.4+537000+495723.6</f>
        <v>1340730</v>
      </c>
      <c r="E21" s="139"/>
      <c r="F21" s="139">
        <f t="shared" ref="F21:F23" si="0">D21+H21</f>
        <v>1340730</v>
      </c>
      <c r="G21" s="139"/>
      <c r="H21" s="222"/>
      <c r="I21" s="222"/>
      <c r="J21" s="222"/>
    </row>
    <row r="22" spans="1:11" x14ac:dyDescent="0.25">
      <c r="A22" s="137" t="s">
        <v>9</v>
      </c>
      <c r="B22" s="138"/>
      <c r="C22" s="138"/>
      <c r="D22" s="139">
        <v>0</v>
      </c>
      <c r="E22" s="139"/>
      <c r="F22" s="139">
        <f t="shared" si="0"/>
        <v>0</v>
      </c>
      <c r="G22" s="139"/>
      <c r="H22" s="222"/>
      <c r="I22" s="222"/>
      <c r="J22" s="222"/>
    </row>
    <row r="23" spans="1:11" ht="30" customHeight="1" x14ac:dyDescent="0.25">
      <c r="A23" s="142" t="s">
        <v>10</v>
      </c>
      <c r="B23" s="143"/>
      <c r="C23" s="144"/>
      <c r="D23" s="139">
        <v>979104.66</v>
      </c>
      <c r="E23" s="139"/>
      <c r="F23" s="204">
        <f t="shared" si="0"/>
        <v>1034524.66</v>
      </c>
      <c r="G23" s="204"/>
      <c r="H23" s="222">
        <v>55420</v>
      </c>
      <c r="I23" s="222"/>
      <c r="J23" s="222"/>
    </row>
    <row r="24" spans="1:11" ht="15.75" x14ac:dyDescent="0.25">
      <c r="A24" s="117" t="s">
        <v>11</v>
      </c>
      <c r="B24" s="145"/>
      <c r="C24" s="145"/>
      <c r="D24" s="133">
        <f>D20+D21+D22+D23</f>
        <v>12586032.66</v>
      </c>
      <c r="E24" s="133"/>
      <c r="F24" s="133">
        <f>SUM(F20:G23)</f>
        <v>12641452.66</v>
      </c>
      <c r="G24" s="133"/>
      <c r="H24" s="225">
        <f>H20+H21+H22+H23</f>
        <v>55420</v>
      </c>
      <c r="I24" s="226"/>
      <c r="J24" s="226"/>
    </row>
    <row r="25" spans="1:11" ht="15.75" x14ac:dyDescent="0.25">
      <c r="A25" s="16"/>
      <c r="B25" s="17"/>
      <c r="C25" s="17"/>
      <c r="D25" s="31"/>
      <c r="E25" s="31"/>
      <c r="F25" s="31"/>
      <c r="G25" s="31"/>
      <c r="H25" s="18"/>
      <c r="I25" s="9"/>
      <c r="J25" s="9"/>
    </row>
    <row r="26" spans="1:11" ht="15.75" x14ac:dyDescent="0.25">
      <c r="A26" s="115" t="s">
        <v>180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8" spans="1:11" x14ac:dyDescent="0.25">
      <c r="A28" s="136" t="s">
        <v>12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1" ht="10.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1" s="3" customFormat="1" x14ac:dyDescent="0.25">
      <c r="A30" s="50"/>
      <c r="B30" s="50"/>
      <c r="C30" s="50"/>
      <c r="D30" s="71" t="s">
        <v>21</v>
      </c>
      <c r="E30" s="71"/>
      <c r="F30" s="71" t="s">
        <v>6</v>
      </c>
      <c r="G30" s="71"/>
      <c r="H30" s="24" t="s">
        <v>14</v>
      </c>
      <c r="I30" s="72" t="s">
        <v>13</v>
      </c>
      <c r="J30" s="73"/>
      <c r="K30" s="74"/>
    </row>
    <row r="31" spans="1:11" s="3" customFormat="1" ht="17.45" customHeight="1" x14ac:dyDescent="0.25">
      <c r="A31" s="121" t="s">
        <v>15</v>
      </c>
      <c r="B31" s="121"/>
      <c r="C31" s="121"/>
      <c r="D31" s="54">
        <v>4101924.57</v>
      </c>
      <c r="E31" s="55"/>
      <c r="F31" s="54">
        <f t="shared" ref="F31:F37" si="1">D31+H31</f>
        <v>4101924.57</v>
      </c>
      <c r="G31" s="55"/>
      <c r="H31" s="48"/>
      <c r="I31" s="206"/>
      <c r="J31" s="207"/>
      <c r="K31" s="208"/>
    </row>
    <row r="32" spans="1:11" s="3" customFormat="1" ht="17.45" customHeight="1" x14ac:dyDescent="0.25">
      <c r="A32" s="51" t="s">
        <v>16</v>
      </c>
      <c r="B32" s="52"/>
      <c r="C32" s="53"/>
      <c r="D32" s="119">
        <v>1238781.21</v>
      </c>
      <c r="E32" s="120"/>
      <c r="F32" s="54">
        <f t="shared" si="1"/>
        <v>1238781.21</v>
      </c>
      <c r="G32" s="55"/>
      <c r="H32" s="48"/>
      <c r="I32" s="215"/>
      <c r="J32" s="216"/>
      <c r="K32" s="217"/>
    </row>
    <row r="33" spans="1:11" s="3" customFormat="1" ht="16.5" customHeight="1" x14ac:dyDescent="0.25">
      <c r="A33" s="121" t="s">
        <v>18</v>
      </c>
      <c r="B33" s="121"/>
      <c r="C33" s="121"/>
      <c r="D33" s="54">
        <f>SUM(D34:E37)</f>
        <v>18824.400000000001</v>
      </c>
      <c r="E33" s="55"/>
      <c r="F33" s="54">
        <f t="shared" si="1"/>
        <v>18824.400000000001</v>
      </c>
      <c r="G33" s="55"/>
      <c r="H33" s="26">
        <f>SUM(H34:H37)</f>
        <v>0</v>
      </c>
      <c r="I33" s="151"/>
      <c r="J33" s="151"/>
      <c r="K33" s="151"/>
    </row>
    <row r="34" spans="1:11" s="3" customFormat="1" ht="16.5" customHeight="1" x14ac:dyDescent="0.25">
      <c r="A34" s="154" t="s">
        <v>41</v>
      </c>
      <c r="B34" s="155"/>
      <c r="C34" s="96"/>
      <c r="D34" s="95">
        <v>14400</v>
      </c>
      <c r="E34" s="112"/>
      <c r="F34" s="95">
        <f t="shared" si="1"/>
        <v>14400</v>
      </c>
      <c r="G34" s="113"/>
      <c r="H34" s="10"/>
      <c r="I34" s="90"/>
      <c r="J34" s="91"/>
      <c r="K34" s="92"/>
    </row>
    <row r="35" spans="1:11" s="3" customFormat="1" ht="16.5" customHeight="1" x14ac:dyDescent="0.25">
      <c r="A35" s="154" t="s">
        <v>69</v>
      </c>
      <c r="B35" s="155"/>
      <c r="C35" s="96"/>
      <c r="D35" s="95">
        <v>2647.2</v>
      </c>
      <c r="E35" s="112"/>
      <c r="F35" s="95">
        <f t="shared" si="1"/>
        <v>2647.2</v>
      </c>
      <c r="G35" s="113"/>
      <c r="H35" s="14"/>
      <c r="I35" s="151"/>
      <c r="J35" s="151"/>
      <c r="K35" s="151"/>
    </row>
    <row r="36" spans="1:11" s="3" customFormat="1" ht="16.5" customHeight="1" x14ac:dyDescent="0.25">
      <c r="A36" s="84" t="s">
        <v>68</v>
      </c>
      <c r="B36" s="152"/>
      <c r="C36" s="153"/>
      <c r="D36" s="95">
        <v>277.2</v>
      </c>
      <c r="E36" s="112"/>
      <c r="F36" s="95">
        <f t="shared" si="1"/>
        <v>277.2</v>
      </c>
      <c r="G36" s="113"/>
      <c r="H36" s="10"/>
      <c r="I36" s="90"/>
      <c r="J36" s="91"/>
      <c r="K36" s="92"/>
    </row>
    <row r="37" spans="1:11" s="3" customFormat="1" ht="20.25" customHeight="1" x14ac:dyDescent="0.25">
      <c r="A37" s="84" t="s">
        <v>70</v>
      </c>
      <c r="B37" s="152"/>
      <c r="C37" s="153"/>
      <c r="D37" s="95">
        <v>1500</v>
      </c>
      <c r="E37" s="112"/>
      <c r="F37" s="95">
        <f t="shared" si="1"/>
        <v>1500</v>
      </c>
      <c r="G37" s="113"/>
      <c r="H37" s="10"/>
      <c r="I37" s="90"/>
      <c r="J37" s="91"/>
      <c r="K37" s="92"/>
    </row>
    <row r="38" spans="1:11" s="3" customFormat="1" ht="16.5" customHeight="1" x14ac:dyDescent="0.25">
      <c r="A38" s="51" t="s">
        <v>17</v>
      </c>
      <c r="B38" s="52"/>
      <c r="C38" s="53"/>
      <c r="D38" s="149">
        <f>SUM(D39:E41)</f>
        <v>672212.77</v>
      </c>
      <c r="E38" s="150"/>
      <c r="F38" s="149">
        <f>H38+D38</f>
        <v>672212.77</v>
      </c>
      <c r="G38" s="150"/>
      <c r="H38" s="39">
        <f>SUM(H39:H41)</f>
        <v>0</v>
      </c>
      <c r="I38" s="151"/>
      <c r="J38" s="151"/>
      <c r="K38" s="151"/>
    </row>
    <row r="39" spans="1:11" s="3" customFormat="1" ht="23.25" customHeight="1" x14ac:dyDescent="0.25">
      <c r="A39" s="84" t="s">
        <v>158</v>
      </c>
      <c r="B39" s="85"/>
      <c r="C39" s="86"/>
      <c r="D39" s="95">
        <v>642804.4</v>
      </c>
      <c r="E39" s="112"/>
      <c r="F39" s="95">
        <f>H39+D39</f>
        <v>642804.4</v>
      </c>
      <c r="G39" s="113"/>
      <c r="H39" s="45"/>
      <c r="I39" s="90"/>
      <c r="J39" s="91"/>
      <c r="K39" s="92"/>
    </row>
    <row r="40" spans="1:11" s="3" customFormat="1" ht="24" customHeight="1" x14ac:dyDescent="0.25">
      <c r="A40" s="84" t="s">
        <v>145</v>
      </c>
      <c r="B40" s="85"/>
      <c r="C40" s="86"/>
      <c r="D40" s="95">
        <f>3*2800.19</f>
        <v>8400.57</v>
      </c>
      <c r="E40" s="112"/>
      <c r="F40" s="95">
        <f>H40+D40</f>
        <v>8400.57</v>
      </c>
      <c r="G40" s="113"/>
      <c r="H40" s="42"/>
      <c r="I40" s="90"/>
      <c r="J40" s="91"/>
      <c r="K40" s="92"/>
    </row>
    <row r="41" spans="1:11" s="3" customFormat="1" ht="34.5" customHeight="1" x14ac:dyDescent="0.25">
      <c r="A41" s="84" t="s">
        <v>72</v>
      </c>
      <c r="B41" s="85"/>
      <c r="C41" s="86"/>
      <c r="D41" s="95">
        <v>21007.8</v>
      </c>
      <c r="E41" s="112"/>
      <c r="F41" s="95">
        <f>H41+D41</f>
        <v>21007.8</v>
      </c>
      <c r="G41" s="113"/>
      <c r="H41" s="42"/>
      <c r="I41" s="90"/>
      <c r="J41" s="91"/>
      <c r="K41" s="92"/>
    </row>
    <row r="42" spans="1:11" s="3" customFormat="1" ht="19.5" customHeight="1" x14ac:dyDescent="0.25">
      <c r="A42" s="51" t="s">
        <v>19</v>
      </c>
      <c r="B42" s="52"/>
      <c r="C42" s="53"/>
      <c r="D42" s="149">
        <f>SUM(D43:E53)</f>
        <v>391012.25</v>
      </c>
      <c r="E42" s="150"/>
      <c r="F42" s="149">
        <f>D42+H42</f>
        <v>391012.25</v>
      </c>
      <c r="G42" s="150"/>
      <c r="H42" s="39">
        <f>SUM(H44:H53)</f>
        <v>0</v>
      </c>
      <c r="I42" s="122"/>
      <c r="J42" s="123"/>
      <c r="K42" s="124"/>
    </row>
    <row r="43" spans="1:11" s="3" customFormat="1" ht="65.25" customHeight="1" x14ac:dyDescent="0.25">
      <c r="A43" s="84" t="s">
        <v>74</v>
      </c>
      <c r="B43" s="85"/>
      <c r="C43" s="86"/>
      <c r="D43" s="59">
        <f>20000+3*10000+15000</f>
        <v>65000</v>
      </c>
      <c r="E43" s="60"/>
      <c r="F43" s="95">
        <f t="shared" ref="F43:F53" si="2">D43+H43</f>
        <v>65000</v>
      </c>
      <c r="G43" s="113"/>
      <c r="H43" s="40"/>
      <c r="I43" s="90"/>
      <c r="J43" s="91"/>
      <c r="K43" s="92"/>
    </row>
    <row r="44" spans="1:11" s="3" customFormat="1" ht="72" customHeight="1" x14ac:dyDescent="0.25">
      <c r="A44" s="84" t="s">
        <v>159</v>
      </c>
      <c r="B44" s="85"/>
      <c r="C44" s="86"/>
      <c r="D44" s="59">
        <v>35250</v>
      </c>
      <c r="E44" s="60"/>
      <c r="F44" s="95">
        <f t="shared" si="2"/>
        <v>35250</v>
      </c>
      <c r="G44" s="113"/>
      <c r="H44" s="42"/>
      <c r="I44" s="90"/>
      <c r="J44" s="91"/>
      <c r="K44" s="92"/>
    </row>
    <row r="45" spans="1:11" s="3" customFormat="1" ht="38.25" customHeight="1" x14ac:dyDescent="0.25">
      <c r="A45" s="84" t="s">
        <v>22</v>
      </c>
      <c r="B45" s="85"/>
      <c r="C45" s="86"/>
      <c r="D45" s="59">
        <v>1400</v>
      </c>
      <c r="E45" s="60"/>
      <c r="F45" s="95">
        <f t="shared" si="2"/>
        <v>1400</v>
      </c>
      <c r="G45" s="113"/>
      <c r="H45" s="42"/>
      <c r="I45" s="90"/>
      <c r="J45" s="91"/>
      <c r="K45" s="92"/>
    </row>
    <row r="46" spans="1:11" s="3" customFormat="1" ht="51.75" customHeight="1" x14ac:dyDescent="0.25">
      <c r="A46" s="84" t="s">
        <v>36</v>
      </c>
      <c r="B46" s="85"/>
      <c r="C46" s="86"/>
      <c r="D46" s="59">
        <f>62042.4+120339.85</f>
        <v>182382.25</v>
      </c>
      <c r="E46" s="60"/>
      <c r="F46" s="95">
        <f t="shared" si="2"/>
        <v>182382.25</v>
      </c>
      <c r="G46" s="113"/>
      <c r="H46" s="41"/>
      <c r="I46" s="156"/>
      <c r="J46" s="157"/>
      <c r="K46" s="158"/>
    </row>
    <row r="47" spans="1:11" s="3" customFormat="1" ht="36.75" customHeight="1" x14ac:dyDescent="0.25">
      <c r="A47" s="84" t="s">
        <v>168</v>
      </c>
      <c r="B47" s="85"/>
      <c r="C47" s="86"/>
      <c r="D47" s="59">
        <v>60140</v>
      </c>
      <c r="E47" s="60"/>
      <c r="F47" s="95">
        <f t="shared" si="2"/>
        <v>60140</v>
      </c>
      <c r="G47" s="113"/>
      <c r="H47" s="42"/>
      <c r="I47" s="90"/>
      <c r="J47" s="91"/>
      <c r="K47" s="92"/>
    </row>
    <row r="48" spans="1:11" s="3" customFormat="1" ht="16.5" customHeight="1" x14ac:dyDescent="0.25">
      <c r="A48" s="84" t="s">
        <v>102</v>
      </c>
      <c r="B48" s="85"/>
      <c r="C48" s="86"/>
      <c r="D48" s="59">
        <v>13440</v>
      </c>
      <c r="E48" s="60"/>
      <c r="F48" s="95">
        <f t="shared" si="2"/>
        <v>13440</v>
      </c>
      <c r="G48" s="113"/>
      <c r="H48" s="42"/>
      <c r="I48" s="90"/>
      <c r="J48" s="91"/>
      <c r="K48" s="92"/>
    </row>
    <row r="49" spans="1:11" s="3" customFormat="1" ht="37.5" customHeight="1" x14ac:dyDescent="0.25">
      <c r="A49" s="84" t="s">
        <v>51</v>
      </c>
      <c r="B49" s="85"/>
      <c r="C49" s="86"/>
      <c r="D49" s="59">
        <v>9000</v>
      </c>
      <c r="E49" s="60"/>
      <c r="F49" s="95">
        <f t="shared" si="2"/>
        <v>9000</v>
      </c>
      <c r="G49" s="113"/>
      <c r="H49" s="40"/>
      <c r="I49" s="122"/>
      <c r="J49" s="123"/>
      <c r="K49" s="124"/>
    </row>
    <row r="50" spans="1:11" s="3" customFormat="1" ht="16.5" customHeight="1" x14ac:dyDescent="0.25">
      <c r="A50" s="84" t="s">
        <v>23</v>
      </c>
      <c r="B50" s="85"/>
      <c r="C50" s="86"/>
      <c r="D50" s="59">
        <v>10000</v>
      </c>
      <c r="E50" s="60"/>
      <c r="F50" s="95">
        <f t="shared" si="2"/>
        <v>10000</v>
      </c>
      <c r="G50" s="113"/>
      <c r="H50" s="40"/>
      <c r="I50" s="122"/>
      <c r="J50" s="123"/>
      <c r="K50" s="124"/>
    </row>
    <row r="51" spans="1:11" s="3" customFormat="1" ht="16.5" customHeight="1" x14ac:dyDescent="0.25">
      <c r="A51" s="84" t="s">
        <v>61</v>
      </c>
      <c r="B51" s="85"/>
      <c r="C51" s="86"/>
      <c r="D51" s="59">
        <v>5000</v>
      </c>
      <c r="E51" s="60"/>
      <c r="F51" s="95">
        <f t="shared" si="2"/>
        <v>5000</v>
      </c>
      <c r="G51" s="113"/>
      <c r="H51" s="40"/>
      <c r="I51" s="122"/>
      <c r="J51" s="123"/>
      <c r="K51" s="124"/>
    </row>
    <row r="52" spans="1:11" s="3" customFormat="1" ht="24.75" customHeight="1" x14ac:dyDescent="0.25">
      <c r="A52" s="84" t="s">
        <v>32</v>
      </c>
      <c r="B52" s="159"/>
      <c r="C52" s="160"/>
      <c r="D52" s="59">
        <v>2400</v>
      </c>
      <c r="E52" s="161"/>
      <c r="F52" s="95">
        <f t="shared" si="2"/>
        <v>2400</v>
      </c>
      <c r="G52" s="113"/>
      <c r="H52" s="40"/>
      <c r="I52" s="122"/>
      <c r="J52" s="123"/>
      <c r="K52" s="124"/>
    </row>
    <row r="53" spans="1:11" s="3" customFormat="1" ht="24.75" customHeight="1" x14ac:dyDescent="0.25">
      <c r="A53" s="84" t="s">
        <v>76</v>
      </c>
      <c r="B53" s="159"/>
      <c r="C53" s="160"/>
      <c r="D53" s="59">
        <f>14*500</f>
        <v>7000</v>
      </c>
      <c r="E53" s="161"/>
      <c r="F53" s="95">
        <f t="shared" si="2"/>
        <v>7000</v>
      </c>
      <c r="G53" s="113"/>
      <c r="H53" s="40"/>
      <c r="I53" s="122"/>
      <c r="J53" s="123"/>
      <c r="K53" s="124"/>
    </row>
    <row r="54" spans="1:11" s="3" customFormat="1" ht="16.5" customHeight="1" x14ac:dyDescent="0.25">
      <c r="A54" s="51" t="s">
        <v>20</v>
      </c>
      <c r="B54" s="52"/>
      <c r="C54" s="53"/>
      <c r="D54" s="149">
        <f>SUM(D55:E68)</f>
        <v>3357820</v>
      </c>
      <c r="E54" s="150"/>
      <c r="F54" s="149">
        <f>SUM(F55:G68)</f>
        <v>3357820</v>
      </c>
      <c r="G54" s="150"/>
      <c r="H54" s="39">
        <f>SUM(H55:H68)</f>
        <v>0</v>
      </c>
      <c r="I54" s="151"/>
      <c r="J54" s="151"/>
      <c r="K54" s="151"/>
    </row>
    <row r="55" spans="1:11" s="3" customFormat="1" ht="27.75" customHeight="1" x14ac:dyDescent="0.25">
      <c r="A55" s="84" t="s">
        <v>52</v>
      </c>
      <c r="B55" s="85"/>
      <c r="C55" s="86"/>
      <c r="D55" s="87">
        <v>7027.2</v>
      </c>
      <c r="E55" s="88"/>
      <c r="F55" s="87">
        <f t="shared" ref="F55:F77" si="3">D55+H55</f>
        <v>7027.2</v>
      </c>
      <c r="G55" s="89"/>
      <c r="H55" s="43"/>
      <c r="I55" s="90"/>
      <c r="J55" s="91"/>
      <c r="K55" s="92"/>
    </row>
    <row r="56" spans="1:11" s="3" customFormat="1" ht="15.75" customHeight="1" x14ac:dyDescent="0.25">
      <c r="A56" s="84" t="s">
        <v>33</v>
      </c>
      <c r="B56" s="85"/>
      <c r="C56" s="86"/>
      <c r="D56" s="87">
        <v>20685.599999999999</v>
      </c>
      <c r="E56" s="88"/>
      <c r="F56" s="87">
        <f t="shared" si="3"/>
        <v>20685.599999999999</v>
      </c>
      <c r="G56" s="89"/>
      <c r="H56" s="44"/>
      <c r="I56" s="162"/>
      <c r="J56" s="163"/>
      <c r="K56" s="164"/>
    </row>
    <row r="57" spans="1:11" s="3" customFormat="1" ht="63" customHeight="1" x14ac:dyDescent="0.25">
      <c r="A57" s="84" t="s">
        <v>47</v>
      </c>
      <c r="B57" s="85"/>
      <c r="C57" s="86"/>
      <c r="D57" s="87">
        <v>50000</v>
      </c>
      <c r="E57" s="88"/>
      <c r="F57" s="87">
        <f t="shared" si="3"/>
        <v>50000</v>
      </c>
      <c r="G57" s="89"/>
      <c r="H57" s="43"/>
      <c r="I57" s="97"/>
      <c r="J57" s="98"/>
      <c r="K57" s="99"/>
    </row>
    <row r="58" spans="1:11" s="3" customFormat="1" ht="38.25" customHeight="1" x14ac:dyDescent="0.25">
      <c r="A58" s="84" t="s">
        <v>77</v>
      </c>
      <c r="B58" s="85"/>
      <c r="C58" s="86"/>
      <c r="D58" s="87">
        <v>31275.200000000001</v>
      </c>
      <c r="E58" s="88"/>
      <c r="F58" s="87">
        <f t="shared" si="3"/>
        <v>31275.200000000001</v>
      </c>
      <c r="G58" s="89"/>
      <c r="H58" s="47"/>
      <c r="I58" s="90"/>
      <c r="J58" s="91"/>
      <c r="K58" s="92"/>
    </row>
    <row r="59" spans="1:11" s="3" customFormat="1" ht="16.5" customHeight="1" x14ac:dyDescent="0.25">
      <c r="A59" s="84" t="s">
        <v>48</v>
      </c>
      <c r="B59" s="85"/>
      <c r="C59" s="86"/>
      <c r="D59" s="87">
        <v>300000</v>
      </c>
      <c r="E59" s="88"/>
      <c r="F59" s="87">
        <f t="shared" si="3"/>
        <v>300000</v>
      </c>
      <c r="G59" s="89"/>
      <c r="H59" s="47"/>
      <c r="I59" s="90"/>
      <c r="J59" s="91"/>
      <c r="K59" s="92"/>
    </row>
    <row r="60" spans="1:11" s="3" customFormat="1" ht="16.5" customHeight="1" x14ac:dyDescent="0.25">
      <c r="A60" s="84" t="s">
        <v>53</v>
      </c>
      <c r="B60" s="85"/>
      <c r="C60" s="86"/>
      <c r="D60" s="87">
        <v>8600</v>
      </c>
      <c r="E60" s="88"/>
      <c r="F60" s="87">
        <f t="shared" si="3"/>
        <v>8600</v>
      </c>
      <c r="G60" s="89"/>
      <c r="H60" s="47"/>
      <c r="I60" s="90"/>
      <c r="J60" s="91"/>
      <c r="K60" s="92"/>
    </row>
    <row r="61" spans="1:11" s="3" customFormat="1" ht="36.75" customHeight="1" x14ac:dyDescent="0.25">
      <c r="A61" s="84" t="s">
        <v>62</v>
      </c>
      <c r="B61" s="85"/>
      <c r="C61" s="86"/>
      <c r="D61" s="87">
        <v>29790</v>
      </c>
      <c r="E61" s="88"/>
      <c r="F61" s="87">
        <f t="shared" si="3"/>
        <v>29790</v>
      </c>
      <c r="G61" s="89"/>
      <c r="H61" s="47"/>
      <c r="I61" s="90"/>
      <c r="J61" s="91"/>
      <c r="K61" s="92"/>
    </row>
    <row r="62" spans="1:11" s="3" customFormat="1" ht="18" customHeight="1" x14ac:dyDescent="0.25">
      <c r="A62" s="84" t="s">
        <v>54</v>
      </c>
      <c r="B62" s="85"/>
      <c r="C62" s="86"/>
      <c r="D62" s="87">
        <v>51050</v>
      </c>
      <c r="E62" s="88"/>
      <c r="F62" s="87">
        <f t="shared" si="3"/>
        <v>51050</v>
      </c>
      <c r="G62" s="89"/>
      <c r="H62" s="47"/>
      <c r="I62" s="90"/>
      <c r="J62" s="91"/>
      <c r="K62" s="92"/>
    </row>
    <row r="63" spans="1:11" s="3" customFormat="1" ht="37.5" customHeight="1" x14ac:dyDescent="0.25">
      <c r="A63" s="84" t="s">
        <v>78</v>
      </c>
      <c r="B63" s="85"/>
      <c r="C63" s="86"/>
      <c r="D63" s="87">
        <v>0</v>
      </c>
      <c r="E63" s="88"/>
      <c r="F63" s="87">
        <f t="shared" si="3"/>
        <v>0</v>
      </c>
      <c r="G63" s="89"/>
      <c r="H63" s="47"/>
      <c r="I63" s="90"/>
      <c r="J63" s="91"/>
      <c r="K63" s="92"/>
    </row>
    <row r="64" spans="1:11" s="3" customFormat="1" ht="16.5" customHeight="1" x14ac:dyDescent="0.25">
      <c r="A64" s="84" t="s">
        <v>55</v>
      </c>
      <c r="B64" s="85"/>
      <c r="C64" s="86"/>
      <c r="D64" s="87">
        <v>13500</v>
      </c>
      <c r="E64" s="88"/>
      <c r="F64" s="87">
        <f t="shared" si="3"/>
        <v>13500</v>
      </c>
      <c r="G64" s="89"/>
      <c r="H64" s="47"/>
      <c r="I64" s="90"/>
      <c r="J64" s="91"/>
      <c r="K64" s="92"/>
    </row>
    <row r="65" spans="1:11" s="3" customFormat="1" ht="17.25" customHeight="1" x14ac:dyDescent="0.25">
      <c r="A65" s="84" t="s">
        <v>56</v>
      </c>
      <c r="B65" s="85"/>
      <c r="C65" s="86"/>
      <c r="D65" s="87">
        <v>21792</v>
      </c>
      <c r="E65" s="88"/>
      <c r="F65" s="87">
        <f t="shared" si="3"/>
        <v>21792</v>
      </c>
      <c r="G65" s="89"/>
      <c r="H65" s="47"/>
      <c r="I65" s="90"/>
      <c r="J65" s="91"/>
      <c r="K65" s="92"/>
    </row>
    <row r="66" spans="1:11" s="3" customFormat="1" ht="32.25" customHeight="1" x14ac:dyDescent="0.25">
      <c r="A66" s="84" t="s">
        <v>114</v>
      </c>
      <c r="B66" s="85"/>
      <c r="C66" s="86"/>
      <c r="D66" s="87">
        <v>8000</v>
      </c>
      <c r="E66" s="88"/>
      <c r="F66" s="87">
        <f t="shared" si="3"/>
        <v>8000</v>
      </c>
      <c r="G66" s="89"/>
      <c r="H66" s="47"/>
      <c r="I66" s="90"/>
      <c r="J66" s="91"/>
      <c r="K66" s="92"/>
    </row>
    <row r="67" spans="1:11" s="3" customFormat="1" ht="51" customHeight="1" x14ac:dyDescent="0.25">
      <c r="A67" s="84" t="s">
        <v>163</v>
      </c>
      <c r="B67" s="85"/>
      <c r="C67" s="86"/>
      <c r="D67" s="87">
        <v>60900</v>
      </c>
      <c r="E67" s="88"/>
      <c r="F67" s="87">
        <f t="shared" si="3"/>
        <v>60900</v>
      </c>
      <c r="G67" s="89"/>
      <c r="H67" s="47"/>
      <c r="I67" s="90"/>
      <c r="J67" s="91"/>
      <c r="K67" s="92"/>
    </row>
    <row r="68" spans="1:11" s="3" customFormat="1" ht="44.25" customHeight="1" x14ac:dyDescent="0.25">
      <c r="A68" s="84" t="s">
        <v>142</v>
      </c>
      <c r="B68" s="85"/>
      <c r="C68" s="86"/>
      <c r="D68" s="87">
        <v>2755200</v>
      </c>
      <c r="E68" s="88"/>
      <c r="F68" s="87">
        <f t="shared" si="3"/>
        <v>2755200</v>
      </c>
      <c r="G68" s="89"/>
      <c r="H68" s="42"/>
      <c r="I68" s="90"/>
      <c r="J68" s="91"/>
      <c r="K68" s="92"/>
    </row>
    <row r="69" spans="1:11" ht="16.5" customHeight="1" x14ac:dyDescent="0.25">
      <c r="A69" s="51" t="s">
        <v>31</v>
      </c>
      <c r="B69" s="52"/>
      <c r="C69" s="53"/>
      <c r="D69" s="54">
        <f>D70</f>
        <v>5096</v>
      </c>
      <c r="E69" s="55"/>
      <c r="F69" s="54">
        <f t="shared" si="3"/>
        <v>5096</v>
      </c>
      <c r="G69" s="55"/>
      <c r="H69" s="39">
        <f>SUM(H70:H70)</f>
        <v>0</v>
      </c>
      <c r="I69" s="50"/>
      <c r="J69" s="50"/>
      <c r="K69" s="50"/>
    </row>
    <row r="70" spans="1:11" s="3" customFormat="1" ht="18" customHeight="1" x14ac:dyDescent="0.25">
      <c r="A70" s="84" t="s">
        <v>115</v>
      </c>
      <c r="B70" s="85"/>
      <c r="C70" s="86"/>
      <c r="D70" s="95">
        <v>5096</v>
      </c>
      <c r="E70" s="112"/>
      <c r="F70" s="95">
        <f t="shared" si="3"/>
        <v>5096</v>
      </c>
      <c r="G70" s="96"/>
      <c r="H70" s="42"/>
      <c r="I70" s="90"/>
      <c r="J70" s="91"/>
      <c r="K70" s="92"/>
    </row>
    <row r="71" spans="1:11" ht="16.5" customHeight="1" x14ac:dyDescent="0.25">
      <c r="A71" s="51" t="s">
        <v>63</v>
      </c>
      <c r="B71" s="52"/>
      <c r="C71" s="53"/>
      <c r="D71" s="54">
        <f>D72</f>
        <v>10300</v>
      </c>
      <c r="E71" s="55"/>
      <c r="F71" s="54">
        <f t="shared" si="3"/>
        <v>10300</v>
      </c>
      <c r="G71" s="55"/>
      <c r="H71" s="39">
        <f>SUM(H72:H72)</f>
        <v>0</v>
      </c>
      <c r="I71" s="50"/>
      <c r="J71" s="50"/>
      <c r="K71" s="50"/>
    </row>
    <row r="72" spans="1:11" s="3" customFormat="1" ht="18.75" customHeight="1" x14ac:dyDescent="0.25">
      <c r="A72" s="84" t="s">
        <v>121</v>
      </c>
      <c r="B72" s="85"/>
      <c r="C72" s="86"/>
      <c r="D72" s="95">
        <v>10300</v>
      </c>
      <c r="E72" s="112"/>
      <c r="F72" s="95">
        <f t="shared" si="3"/>
        <v>10300</v>
      </c>
      <c r="G72" s="96"/>
      <c r="H72" s="42"/>
      <c r="I72" s="90"/>
      <c r="J72" s="91"/>
      <c r="K72" s="92"/>
    </row>
    <row r="73" spans="1:11" ht="45.75" customHeight="1" x14ac:dyDescent="0.25">
      <c r="A73" s="172" t="s">
        <v>34</v>
      </c>
      <c r="B73" s="179"/>
      <c r="C73" s="180"/>
      <c r="D73" s="100">
        <v>4635</v>
      </c>
      <c r="E73" s="181"/>
      <c r="F73" s="100">
        <f t="shared" si="3"/>
        <v>0</v>
      </c>
      <c r="G73" s="101"/>
      <c r="H73" s="45">
        <v>-4635</v>
      </c>
      <c r="I73" s="90" t="s">
        <v>191</v>
      </c>
      <c r="J73" s="91"/>
      <c r="K73" s="92"/>
    </row>
    <row r="74" spans="1:11" ht="32.25" customHeight="1" x14ac:dyDescent="0.25">
      <c r="A74" s="172" t="s">
        <v>39</v>
      </c>
      <c r="B74" s="173"/>
      <c r="C74" s="174"/>
      <c r="D74" s="100">
        <f>SUM(D75:E77)</f>
        <v>381120</v>
      </c>
      <c r="E74" s="175"/>
      <c r="F74" s="100">
        <f t="shared" si="3"/>
        <v>381120</v>
      </c>
      <c r="G74" s="101"/>
      <c r="H74" s="45">
        <f>H75+H76+H77</f>
        <v>0</v>
      </c>
      <c r="I74" s="102"/>
      <c r="J74" s="103"/>
      <c r="K74" s="104"/>
    </row>
    <row r="75" spans="1:11" s="3" customFormat="1" ht="25.5" customHeight="1" x14ac:dyDescent="0.25">
      <c r="A75" s="84" t="s">
        <v>83</v>
      </c>
      <c r="B75" s="85"/>
      <c r="C75" s="86"/>
      <c r="D75" s="95">
        <f>4*780</f>
        <v>3120</v>
      </c>
      <c r="E75" s="112"/>
      <c r="F75" s="95">
        <f t="shared" si="3"/>
        <v>3120</v>
      </c>
      <c r="G75" s="113"/>
      <c r="H75" s="41"/>
      <c r="I75" s="97"/>
      <c r="J75" s="98"/>
      <c r="K75" s="99"/>
    </row>
    <row r="76" spans="1:11" s="3" customFormat="1" ht="16.5" customHeight="1" x14ac:dyDescent="0.25">
      <c r="A76" s="84" t="s">
        <v>82</v>
      </c>
      <c r="B76" s="85"/>
      <c r="C76" s="86"/>
      <c r="D76" s="95">
        <f>140*50</f>
        <v>7000</v>
      </c>
      <c r="E76" s="112"/>
      <c r="F76" s="95">
        <f t="shared" si="3"/>
        <v>7000</v>
      </c>
      <c r="G76" s="113"/>
      <c r="H76" s="42"/>
      <c r="I76" s="90"/>
      <c r="J76" s="91"/>
      <c r="K76" s="92"/>
    </row>
    <row r="77" spans="1:11" s="3" customFormat="1" ht="47.25" customHeight="1" x14ac:dyDescent="0.25">
      <c r="A77" s="84" t="s">
        <v>157</v>
      </c>
      <c r="B77" s="85"/>
      <c r="C77" s="86"/>
      <c r="D77" s="95">
        <v>371000</v>
      </c>
      <c r="E77" s="112"/>
      <c r="F77" s="95">
        <f t="shared" si="3"/>
        <v>371000</v>
      </c>
      <c r="G77" s="113"/>
      <c r="H77" s="42"/>
      <c r="I77" s="90"/>
      <c r="J77" s="91"/>
      <c r="K77" s="92"/>
    </row>
    <row r="78" spans="1:11" ht="27" customHeight="1" x14ac:dyDescent="0.25">
      <c r="A78" s="172" t="s">
        <v>38</v>
      </c>
      <c r="B78" s="179"/>
      <c r="C78" s="180"/>
      <c r="D78" s="54">
        <f>SUM(D79:E81)</f>
        <v>13800</v>
      </c>
      <c r="E78" s="55"/>
      <c r="F78" s="54">
        <f>SUM(F79:G81)</f>
        <v>13800</v>
      </c>
      <c r="G78" s="55"/>
      <c r="H78" s="45">
        <f>H81</f>
        <v>0</v>
      </c>
      <c r="I78" s="90"/>
      <c r="J78" s="91"/>
      <c r="K78" s="92"/>
    </row>
    <row r="79" spans="1:11" s="3" customFormat="1" ht="16.5" customHeight="1" x14ac:dyDescent="0.25">
      <c r="A79" s="84" t="s">
        <v>84</v>
      </c>
      <c r="B79" s="85"/>
      <c r="C79" s="86"/>
      <c r="D79" s="95">
        <f>4*2150</f>
        <v>8600</v>
      </c>
      <c r="E79" s="112"/>
      <c r="F79" s="95">
        <f>D79+H79</f>
        <v>8600</v>
      </c>
      <c r="G79" s="113"/>
      <c r="H79" s="42"/>
      <c r="I79" s="90"/>
      <c r="J79" s="91"/>
      <c r="K79" s="92"/>
    </row>
    <row r="80" spans="1:11" s="3" customFormat="1" ht="16.5" customHeight="1" x14ac:dyDescent="0.25">
      <c r="A80" s="84" t="s">
        <v>85</v>
      </c>
      <c r="B80" s="85"/>
      <c r="C80" s="86"/>
      <c r="D80" s="95">
        <f>30*120</f>
        <v>3600</v>
      </c>
      <c r="E80" s="112"/>
      <c r="F80" s="95">
        <f>D80+H80</f>
        <v>3600</v>
      </c>
      <c r="G80" s="113"/>
      <c r="H80" s="42"/>
      <c r="I80" s="90"/>
      <c r="J80" s="91"/>
      <c r="K80" s="92"/>
    </row>
    <row r="81" spans="1:11" s="3" customFormat="1" ht="16.5" customHeight="1" x14ac:dyDescent="0.25">
      <c r="A81" s="84" t="s">
        <v>153</v>
      </c>
      <c r="B81" s="85"/>
      <c r="C81" s="86"/>
      <c r="D81" s="95">
        <v>1600</v>
      </c>
      <c r="E81" s="112"/>
      <c r="F81" s="95">
        <f>D81+H81</f>
        <v>1600</v>
      </c>
      <c r="G81" s="113"/>
      <c r="H81" s="42"/>
      <c r="I81" s="90"/>
      <c r="J81" s="91"/>
      <c r="K81" s="92"/>
    </row>
    <row r="82" spans="1:11" ht="30.75" customHeight="1" x14ac:dyDescent="0.25">
      <c r="A82" s="172" t="s">
        <v>35</v>
      </c>
      <c r="B82" s="179"/>
      <c r="C82" s="180"/>
      <c r="D82" s="54">
        <f>SUM(D83:E84)</f>
        <v>27631.14</v>
      </c>
      <c r="E82" s="55"/>
      <c r="F82" s="54">
        <f>D82+H82</f>
        <v>33826.14</v>
      </c>
      <c r="G82" s="55"/>
      <c r="H82" s="45">
        <f>H83+H84</f>
        <v>6195</v>
      </c>
      <c r="I82" s="90"/>
      <c r="J82" s="91"/>
      <c r="K82" s="92"/>
    </row>
    <row r="83" spans="1:11" s="3" customFormat="1" ht="95.25" customHeight="1" x14ac:dyDescent="0.25">
      <c r="A83" s="84" t="s">
        <v>86</v>
      </c>
      <c r="B83" s="85"/>
      <c r="C83" s="86"/>
      <c r="D83" s="95">
        <v>23081.14</v>
      </c>
      <c r="E83" s="112"/>
      <c r="F83" s="95">
        <f>D83+H83</f>
        <v>29276.14</v>
      </c>
      <c r="G83" s="113"/>
      <c r="H83" s="47">
        <v>6195</v>
      </c>
      <c r="I83" s="90" t="s">
        <v>184</v>
      </c>
      <c r="J83" s="91"/>
      <c r="K83" s="92"/>
    </row>
    <row r="84" spans="1:11" s="3" customFormat="1" ht="104.25" customHeight="1" x14ac:dyDescent="0.25">
      <c r="A84" s="84" t="s">
        <v>92</v>
      </c>
      <c r="B84" s="85"/>
      <c r="C84" s="86"/>
      <c r="D84" s="95">
        <v>4550</v>
      </c>
      <c r="E84" s="112"/>
      <c r="F84" s="95">
        <f t="shared" ref="F84:F91" si="4">D84+H84</f>
        <v>4550</v>
      </c>
      <c r="G84" s="113"/>
      <c r="H84" s="47"/>
      <c r="I84" s="90"/>
      <c r="J84" s="91"/>
      <c r="K84" s="92"/>
    </row>
    <row r="85" spans="1:11" s="30" customFormat="1" ht="33" customHeight="1" x14ac:dyDescent="0.25">
      <c r="A85" s="105" t="s">
        <v>40</v>
      </c>
      <c r="B85" s="106"/>
      <c r="C85" s="107"/>
      <c r="D85" s="108">
        <v>43040.66</v>
      </c>
      <c r="E85" s="109"/>
      <c r="F85" s="108">
        <f t="shared" si="4"/>
        <v>41480.660000000003</v>
      </c>
      <c r="G85" s="109"/>
      <c r="H85" s="42">
        <f>SUM(H86:H91)</f>
        <v>-1560</v>
      </c>
      <c r="I85" s="61"/>
      <c r="J85" s="110"/>
      <c r="K85" s="111"/>
    </row>
    <row r="86" spans="1:11" s="30" customFormat="1" ht="16.5" customHeight="1" x14ac:dyDescent="0.25">
      <c r="A86" s="67" t="s">
        <v>116</v>
      </c>
      <c r="B86" s="68"/>
      <c r="C86" s="69"/>
      <c r="D86" s="59">
        <v>8400</v>
      </c>
      <c r="E86" s="60"/>
      <c r="F86" s="59">
        <f t="shared" si="4"/>
        <v>8400</v>
      </c>
      <c r="G86" s="60"/>
      <c r="H86" s="42"/>
      <c r="I86" s="233"/>
      <c r="J86" s="234"/>
      <c r="K86" s="235"/>
    </row>
    <row r="87" spans="1:11" s="30" customFormat="1" ht="16.5" customHeight="1" x14ac:dyDescent="0.25">
      <c r="A87" s="67" t="s">
        <v>117</v>
      </c>
      <c r="B87" s="93"/>
      <c r="C87" s="94"/>
      <c r="D87" s="59">
        <v>10080</v>
      </c>
      <c r="E87" s="60"/>
      <c r="F87" s="59">
        <f t="shared" si="4"/>
        <v>10080</v>
      </c>
      <c r="G87" s="60"/>
      <c r="H87" s="42"/>
      <c r="I87" s="236"/>
      <c r="J87" s="237"/>
      <c r="K87" s="238"/>
    </row>
    <row r="88" spans="1:11" s="30" customFormat="1" ht="16.5" customHeight="1" x14ac:dyDescent="0.25">
      <c r="A88" s="67" t="s">
        <v>118</v>
      </c>
      <c r="B88" s="68"/>
      <c r="C88" s="69"/>
      <c r="D88" s="59">
        <v>13440</v>
      </c>
      <c r="E88" s="60"/>
      <c r="F88" s="59">
        <f t="shared" si="4"/>
        <v>13440</v>
      </c>
      <c r="G88" s="60"/>
      <c r="H88" s="42"/>
      <c r="I88" s="236"/>
      <c r="J88" s="237"/>
      <c r="K88" s="238"/>
    </row>
    <row r="89" spans="1:11" s="30" customFormat="1" ht="16.5" customHeight="1" x14ac:dyDescent="0.25">
      <c r="A89" s="67" t="s">
        <v>119</v>
      </c>
      <c r="B89" s="68"/>
      <c r="C89" s="69"/>
      <c r="D89" s="59">
        <v>6720</v>
      </c>
      <c r="E89" s="60"/>
      <c r="F89" s="59">
        <f t="shared" si="4"/>
        <v>6720</v>
      </c>
      <c r="G89" s="60"/>
      <c r="H89" s="42"/>
      <c r="I89" s="236"/>
      <c r="J89" s="237"/>
      <c r="K89" s="238"/>
    </row>
    <row r="90" spans="1:11" s="30" customFormat="1" ht="16.5" customHeight="1" x14ac:dyDescent="0.25">
      <c r="A90" s="67" t="s">
        <v>91</v>
      </c>
      <c r="B90" s="68"/>
      <c r="C90" s="69"/>
      <c r="D90" s="59">
        <v>800.66</v>
      </c>
      <c r="E90" s="60"/>
      <c r="F90" s="59">
        <f t="shared" si="4"/>
        <v>800.66</v>
      </c>
      <c r="G90" s="60"/>
      <c r="H90" s="42"/>
      <c r="I90" s="215"/>
      <c r="J90" s="216"/>
      <c r="K90" s="217"/>
    </row>
    <row r="91" spans="1:11" s="30" customFormat="1" ht="49.5" customHeight="1" x14ac:dyDescent="0.25">
      <c r="A91" s="67" t="s">
        <v>120</v>
      </c>
      <c r="B91" s="68"/>
      <c r="C91" s="69"/>
      <c r="D91" s="59">
        <v>3600</v>
      </c>
      <c r="E91" s="60"/>
      <c r="F91" s="59">
        <f t="shared" si="4"/>
        <v>2040</v>
      </c>
      <c r="G91" s="60"/>
      <c r="H91" s="42">
        <v>-1560</v>
      </c>
      <c r="I91" s="90" t="s">
        <v>192</v>
      </c>
      <c r="J91" s="91"/>
      <c r="K91" s="92"/>
    </row>
    <row r="92" spans="1:11" s="3" customFormat="1" x14ac:dyDescent="0.25">
      <c r="A92" s="64" t="s">
        <v>11</v>
      </c>
      <c r="B92" s="64"/>
      <c r="C92" s="64"/>
      <c r="D92" s="65">
        <f>D31+D32+D33+D38+D42+D54+D69+D71+D73+D74+D78+D82+D85</f>
        <v>10266198</v>
      </c>
      <c r="E92" s="66"/>
      <c r="F92" s="65">
        <f>F31+F32+F33+F38+F42+F54+F69+F71+F73+F74+F78+F82+F85</f>
        <v>10266198</v>
      </c>
      <c r="G92" s="66"/>
      <c r="H92" s="38">
        <f>H31+H32+H33+H38+H42+H54+H69+H71+H73+H74+H78+H82+H85</f>
        <v>0</v>
      </c>
      <c r="I92" s="50"/>
      <c r="J92" s="50"/>
      <c r="K92" s="50"/>
    </row>
    <row r="93" spans="1:11" s="3" customFormat="1" x14ac:dyDescent="0.25">
      <c r="A93" s="8"/>
      <c r="B93" s="8"/>
      <c r="C93" s="8"/>
      <c r="D93" s="9"/>
      <c r="E93" s="9"/>
      <c r="F93" s="9"/>
      <c r="G93" s="9"/>
      <c r="H93" s="9"/>
    </row>
    <row r="94" spans="1:11" ht="16.5" customHeight="1" x14ac:dyDescent="0.25">
      <c r="A94" s="76" t="s">
        <v>49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</row>
    <row r="96" spans="1:11" x14ac:dyDescent="0.25">
      <c r="A96" s="50"/>
      <c r="B96" s="50"/>
      <c r="C96" s="50"/>
      <c r="D96" s="71" t="s">
        <v>5</v>
      </c>
      <c r="E96" s="71"/>
      <c r="F96" s="71" t="s">
        <v>6</v>
      </c>
      <c r="G96" s="71"/>
      <c r="H96" s="24" t="s">
        <v>14</v>
      </c>
      <c r="I96" s="72" t="s">
        <v>13</v>
      </c>
      <c r="J96" s="73"/>
      <c r="K96" s="74"/>
    </row>
    <row r="97" spans="1:11" ht="18" customHeight="1" x14ac:dyDescent="0.25">
      <c r="A97" s="121" t="s">
        <v>15</v>
      </c>
      <c r="B97" s="121"/>
      <c r="C97" s="121"/>
      <c r="D97" s="54">
        <v>366885.77</v>
      </c>
      <c r="E97" s="55"/>
      <c r="F97" s="54">
        <f>D97+H97</f>
        <v>366885.77</v>
      </c>
      <c r="G97" s="55"/>
      <c r="H97" s="45"/>
      <c r="I97" s="206"/>
      <c r="J97" s="207"/>
      <c r="K97" s="208"/>
    </row>
    <row r="98" spans="1:11" ht="18" customHeight="1" x14ac:dyDescent="0.25">
      <c r="A98" s="51" t="s">
        <v>16</v>
      </c>
      <c r="B98" s="52"/>
      <c r="C98" s="53"/>
      <c r="D98" s="54">
        <v>110799.5</v>
      </c>
      <c r="E98" s="55"/>
      <c r="F98" s="54">
        <f>D98+H98</f>
        <v>110799.5</v>
      </c>
      <c r="G98" s="55"/>
      <c r="H98" s="45"/>
      <c r="I98" s="215"/>
      <c r="J98" s="216"/>
      <c r="K98" s="217"/>
    </row>
    <row r="99" spans="1:11" ht="18" customHeight="1" x14ac:dyDescent="0.25">
      <c r="A99" s="51" t="s">
        <v>25</v>
      </c>
      <c r="B99" s="52"/>
      <c r="C99" s="53"/>
      <c r="D99" s="54">
        <f>SUM(D100:E101)</f>
        <v>31253.48</v>
      </c>
      <c r="E99" s="187"/>
      <c r="F99" s="54">
        <f t="shared" ref="F99" si="5">D99+H99</f>
        <v>31253.48</v>
      </c>
      <c r="G99" s="187"/>
      <c r="H99" s="39"/>
      <c r="I99" s="97"/>
      <c r="J99" s="98"/>
      <c r="K99" s="99"/>
    </row>
    <row r="100" spans="1:11" ht="16.5" customHeight="1" x14ac:dyDescent="0.25">
      <c r="A100" s="84" t="s">
        <v>46</v>
      </c>
      <c r="B100" s="85"/>
      <c r="C100" s="86"/>
      <c r="D100" s="95">
        <v>29372.880000000001</v>
      </c>
      <c r="E100" s="112"/>
      <c r="F100" s="95">
        <f>D100+H100</f>
        <v>29372.880000000001</v>
      </c>
      <c r="G100" s="112"/>
      <c r="H100" s="42"/>
      <c r="I100" s="90"/>
      <c r="J100" s="91"/>
      <c r="K100" s="92"/>
    </row>
    <row r="101" spans="1:11" ht="16.5" customHeight="1" x14ac:dyDescent="0.25">
      <c r="A101" s="84" t="s">
        <v>24</v>
      </c>
      <c r="B101" s="85"/>
      <c r="C101" s="86"/>
      <c r="D101" s="95">
        <f>1880.34+0.26</f>
        <v>1880.6</v>
      </c>
      <c r="E101" s="112"/>
      <c r="F101" s="95">
        <f>D101+H101</f>
        <v>1880.6</v>
      </c>
      <c r="G101" s="112"/>
      <c r="H101" s="42"/>
      <c r="I101" s="90"/>
      <c r="J101" s="91"/>
      <c r="K101" s="92"/>
    </row>
    <row r="102" spans="1:11" ht="17.25" customHeight="1" x14ac:dyDescent="0.25">
      <c r="A102" s="51" t="s">
        <v>26</v>
      </c>
      <c r="B102" s="52"/>
      <c r="C102" s="53"/>
      <c r="D102" s="54">
        <v>35000</v>
      </c>
      <c r="E102" s="55"/>
      <c r="F102" s="54">
        <f>D102+H102</f>
        <v>35000</v>
      </c>
      <c r="G102" s="55"/>
      <c r="H102" s="45"/>
      <c r="I102" s="90"/>
      <c r="J102" s="91"/>
      <c r="K102" s="92"/>
    </row>
    <row r="103" spans="1:11" s="3" customFormat="1" ht="16.5" customHeight="1" x14ac:dyDescent="0.25">
      <c r="A103" s="51" t="s">
        <v>17</v>
      </c>
      <c r="B103" s="52"/>
      <c r="C103" s="53"/>
      <c r="D103" s="149">
        <v>79275</v>
      </c>
      <c r="E103" s="150"/>
      <c r="F103" s="149">
        <f>H103+D103</f>
        <v>79275</v>
      </c>
      <c r="G103" s="150"/>
      <c r="H103" s="39"/>
      <c r="I103" s="151"/>
      <c r="J103" s="151"/>
      <c r="K103" s="151"/>
    </row>
    <row r="104" spans="1:11" s="3" customFormat="1" ht="17.25" customHeight="1" x14ac:dyDescent="0.25">
      <c r="A104" s="67" t="s">
        <v>126</v>
      </c>
      <c r="B104" s="68"/>
      <c r="C104" s="69"/>
      <c r="D104" s="95">
        <v>79275</v>
      </c>
      <c r="E104" s="112"/>
      <c r="F104" s="95">
        <f>H104+D104</f>
        <v>79275</v>
      </c>
      <c r="G104" s="113"/>
      <c r="H104" s="49"/>
      <c r="I104" s="90"/>
      <c r="J104" s="91"/>
      <c r="K104" s="92"/>
    </row>
    <row r="105" spans="1:11" ht="16.5" customHeight="1" x14ac:dyDescent="0.25">
      <c r="A105" s="51" t="s">
        <v>20</v>
      </c>
      <c r="B105" s="52"/>
      <c r="C105" s="53"/>
      <c r="D105" s="54">
        <f>SUM(D106:E107)</f>
        <v>180000</v>
      </c>
      <c r="E105" s="55"/>
      <c r="F105" s="54">
        <f t="shared" ref="F105:F117" si="6">D105+H105</f>
        <v>241700</v>
      </c>
      <c r="G105" s="55"/>
      <c r="H105" s="39">
        <f>SUM(H106:H113)</f>
        <v>61700</v>
      </c>
      <c r="I105" s="50"/>
      <c r="J105" s="50"/>
      <c r="K105" s="50"/>
    </row>
    <row r="106" spans="1:11" s="3" customFormat="1" ht="39.75" customHeight="1" x14ac:dyDescent="0.25">
      <c r="A106" s="84" t="s">
        <v>93</v>
      </c>
      <c r="B106" s="85"/>
      <c r="C106" s="86"/>
      <c r="D106" s="95">
        <v>168000</v>
      </c>
      <c r="E106" s="112"/>
      <c r="F106" s="95">
        <f t="shared" si="6"/>
        <v>151200</v>
      </c>
      <c r="G106" s="96"/>
      <c r="H106" s="47">
        <v>-16800</v>
      </c>
      <c r="I106" s="90" t="s">
        <v>185</v>
      </c>
      <c r="J106" s="91"/>
      <c r="K106" s="92"/>
    </row>
    <row r="107" spans="1:11" s="3" customFormat="1" ht="37.5" customHeight="1" x14ac:dyDescent="0.25">
      <c r="A107" s="84" t="s">
        <v>104</v>
      </c>
      <c r="B107" s="85"/>
      <c r="C107" s="86"/>
      <c r="D107" s="95">
        <v>12000</v>
      </c>
      <c r="E107" s="112"/>
      <c r="F107" s="95">
        <f t="shared" si="6"/>
        <v>24000</v>
      </c>
      <c r="G107" s="96"/>
      <c r="H107" s="42">
        <v>12000</v>
      </c>
      <c r="I107" s="90" t="s">
        <v>187</v>
      </c>
      <c r="J107" s="91"/>
      <c r="K107" s="92"/>
    </row>
    <row r="108" spans="1:11" s="3" customFormat="1" ht="26.25" customHeight="1" x14ac:dyDescent="0.25">
      <c r="A108" s="84" t="s">
        <v>169</v>
      </c>
      <c r="B108" s="85"/>
      <c r="C108" s="86"/>
      <c r="D108" s="95"/>
      <c r="E108" s="112"/>
      <c r="F108" s="95">
        <f t="shared" ref="F108:F113" si="7">D108+H108</f>
        <v>12600</v>
      </c>
      <c r="G108" s="96"/>
      <c r="H108" s="42">
        <v>12600</v>
      </c>
      <c r="I108" s="239" t="s">
        <v>183</v>
      </c>
      <c r="J108" s="240"/>
      <c r="K108" s="241"/>
    </row>
    <row r="109" spans="1:11" s="3" customFormat="1" ht="23.25" customHeight="1" x14ac:dyDescent="0.25">
      <c r="A109" s="84" t="s">
        <v>170</v>
      </c>
      <c r="B109" s="85"/>
      <c r="C109" s="86"/>
      <c r="D109" s="95"/>
      <c r="E109" s="112"/>
      <c r="F109" s="95">
        <f t="shared" si="7"/>
        <v>6000</v>
      </c>
      <c r="G109" s="96"/>
      <c r="H109" s="42">
        <v>6000</v>
      </c>
      <c r="I109" s="242"/>
      <c r="J109" s="243"/>
      <c r="K109" s="244"/>
    </row>
    <row r="110" spans="1:11" s="3" customFormat="1" ht="39.75" customHeight="1" x14ac:dyDescent="0.25">
      <c r="A110" s="84" t="s">
        <v>171</v>
      </c>
      <c r="B110" s="85"/>
      <c r="C110" s="86"/>
      <c r="D110" s="95"/>
      <c r="E110" s="112"/>
      <c r="F110" s="95">
        <f t="shared" si="7"/>
        <v>1500</v>
      </c>
      <c r="G110" s="96"/>
      <c r="H110" s="42">
        <v>1500</v>
      </c>
      <c r="I110" s="90" t="s">
        <v>187</v>
      </c>
      <c r="J110" s="91"/>
      <c r="K110" s="92"/>
    </row>
    <row r="111" spans="1:11" s="3" customFormat="1" ht="38.25" customHeight="1" x14ac:dyDescent="0.25">
      <c r="A111" s="84" t="s">
        <v>172</v>
      </c>
      <c r="B111" s="85"/>
      <c r="C111" s="86"/>
      <c r="D111" s="95"/>
      <c r="E111" s="112"/>
      <c r="F111" s="95">
        <f t="shared" si="7"/>
        <v>16800</v>
      </c>
      <c r="G111" s="96"/>
      <c r="H111" s="42">
        <v>16800</v>
      </c>
      <c r="I111" s="90" t="s">
        <v>187</v>
      </c>
      <c r="J111" s="91"/>
      <c r="K111" s="92"/>
    </row>
    <row r="112" spans="1:11" s="3" customFormat="1" ht="38.25" customHeight="1" x14ac:dyDescent="0.25">
      <c r="A112" s="84" t="s">
        <v>173</v>
      </c>
      <c r="B112" s="85"/>
      <c r="C112" s="86"/>
      <c r="D112" s="95"/>
      <c r="E112" s="112"/>
      <c r="F112" s="95">
        <f t="shared" si="7"/>
        <v>22000</v>
      </c>
      <c r="G112" s="96"/>
      <c r="H112" s="42">
        <v>22000</v>
      </c>
      <c r="I112" s="90" t="s">
        <v>187</v>
      </c>
      <c r="J112" s="91"/>
      <c r="K112" s="92"/>
    </row>
    <row r="113" spans="1:11" s="3" customFormat="1" ht="36" customHeight="1" x14ac:dyDescent="0.25">
      <c r="A113" s="84" t="s">
        <v>174</v>
      </c>
      <c r="B113" s="85"/>
      <c r="C113" s="86"/>
      <c r="D113" s="95"/>
      <c r="E113" s="112"/>
      <c r="F113" s="95">
        <f t="shared" si="7"/>
        <v>7600</v>
      </c>
      <c r="G113" s="96"/>
      <c r="H113" s="42">
        <v>7600</v>
      </c>
      <c r="I113" s="90" t="s">
        <v>187</v>
      </c>
      <c r="J113" s="91"/>
      <c r="K113" s="92"/>
    </row>
    <row r="114" spans="1:11" ht="16.5" customHeight="1" x14ac:dyDescent="0.25">
      <c r="A114" s="51" t="s">
        <v>63</v>
      </c>
      <c r="B114" s="52"/>
      <c r="C114" s="53"/>
      <c r="D114" s="54">
        <f>D115</f>
        <v>0</v>
      </c>
      <c r="E114" s="55"/>
      <c r="F114" s="54">
        <f t="shared" si="6"/>
        <v>12005</v>
      </c>
      <c r="G114" s="55"/>
      <c r="H114" s="39">
        <f>SUM(H115:H115)</f>
        <v>12005</v>
      </c>
      <c r="I114" s="50"/>
      <c r="J114" s="50"/>
      <c r="K114" s="50"/>
    </row>
    <row r="115" spans="1:11" s="3" customFormat="1" ht="36" customHeight="1" x14ac:dyDescent="0.25">
      <c r="A115" s="84" t="s">
        <v>175</v>
      </c>
      <c r="B115" s="85"/>
      <c r="C115" s="86"/>
      <c r="D115" s="95">
        <v>0</v>
      </c>
      <c r="E115" s="112"/>
      <c r="F115" s="95">
        <f t="shared" si="6"/>
        <v>12005</v>
      </c>
      <c r="G115" s="96"/>
      <c r="H115" s="42">
        <v>12005</v>
      </c>
      <c r="I115" s="90" t="s">
        <v>187</v>
      </c>
      <c r="J115" s="91"/>
      <c r="K115" s="92"/>
    </row>
    <row r="116" spans="1:11" ht="32.25" customHeight="1" x14ac:dyDescent="0.25">
      <c r="A116" s="172" t="s">
        <v>39</v>
      </c>
      <c r="B116" s="173"/>
      <c r="C116" s="174"/>
      <c r="D116" s="100">
        <f>D117</f>
        <v>150000</v>
      </c>
      <c r="E116" s="175"/>
      <c r="F116" s="100">
        <f t="shared" si="6"/>
        <v>67500</v>
      </c>
      <c r="G116" s="101"/>
      <c r="H116" s="45">
        <f>H117</f>
        <v>-82500</v>
      </c>
      <c r="I116" s="102"/>
      <c r="J116" s="103"/>
      <c r="K116" s="104"/>
    </row>
    <row r="117" spans="1:11" s="3" customFormat="1" ht="52.5" customHeight="1" x14ac:dyDescent="0.25">
      <c r="A117" s="84" t="s">
        <v>94</v>
      </c>
      <c r="B117" s="85"/>
      <c r="C117" s="86"/>
      <c r="D117" s="95">
        <f>20*7500</f>
        <v>150000</v>
      </c>
      <c r="E117" s="112"/>
      <c r="F117" s="95">
        <f t="shared" si="6"/>
        <v>67500</v>
      </c>
      <c r="G117" s="113"/>
      <c r="H117" s="42">
        <v>-82500</v>
      </c>
      <c r="I117" s="90" t="s">
        <v>186</v>
      </c>
      <c r="J117" s="91"/>
      <c r="K117" s="92"/>
    </row>
    <row r="118" spans="1:11" ht="27" customHeight="1" x14ac:dyDescent="0.25">
      <c r="A118" s="172" t="s">
        <v>38</v>
      </c>
      <c r="B118" s="179"/>
      <c r="C118" s="180"/>
      <c r="D118" s="54">
        <f>SUM(D119:E122)</f>
        <v>0</v>
      </c>
      <c r="E118" s="55"/>
      <c r="F118" s="54">
        <f>SUM(F119:G122)</f>
        <v>34900</v>
      </c>
      <c r="G118" s="55"/>
      <c r="H118" s="45">
        <f>SUM(H119:H122)</f>
        <v>34900</v>
      </c>
      <c r="I118" s="90"/>
      <c r="J118" s="91"/>
      <c r="K118" s="92"/>
    </row>
    <row r="119" spans="1:11" s="3" customFormat="1" ht="40.5" customHeight="1" x14ac:dyDescent="0.25">
      <c r="A119" s="84" t="s">
        <v>176</v>
      </c>
      <c r="B119" s="85"/>
      <c r="C119" s="86"/>
      <c r="D119" s="95"/>
      <c r="E119" s="112"/>
      <c r="F119" s="95">
        <f>D119+H119</f>
        <v>10000</v>
      </c>
      <c r="G119" s="113"/>
      <c r="H119" s="42">
        <v>10000</v>
      </c>
      <c r="I119" s="90" t="s">
        <v>188</v>
      </c>
      <c r="J119" s="91"/>
      <c r="K119" s="92"/>
    </row>
    <row r="120" spans="1:11" s="3" customFormat="1" ht="21" customHeight="1" x14ac:dyDescent="0.25">
      <c r="A120" s="84" t="s">
        <v>177</v>
      </c>
      <c r="B120" s="85"/>
      <c r="C120" s="86"/>
      <c r="D120" s="95"/>
      <c r="E120" s="112"/>
      <c r="F120" s="95">
        <f>D120+H120</f>
        <v>6400</v>
      </c>
      <c r="G120" s="113"/>
      <c r="H120" s="42">
        <v>6400</v>
      </c>
      <c r="I120" s="245" t="s">
        <v>189</v>
      </c>
      <c r="J120" s="246"/>
      <c r="K120" s="247"/>
    </row>
    <row r="121" spans="1:11" s="3" customFormat="1" ht="21" customHeight="1" x14ac:dyDescent="0.25">
      <c r="A121" s="84" t="s">
        <v>178</v>
      </c>
      <c r="B121" s="85"/>
      <c r="C121" s="86"/>
      <c r="D121" s="95"/>
      <c r="E121" s="112"/>
      <c r="F121" s="95">
        <f>D121+H121</f>
        <v>900</v>
      </c>
      <c r="G121" s="113"/>
      <c r="H121" s="42">
        <v>900</v>
      </c>
      <c r="I121" s="248"/>
      <c r="J121" s="249"/>
      <c r="K121" s="250"/>
    </row>
    <row r="122" spans="1:11" s="3" customFormat="1" ht="49.5" customHeight="1" x14ac:dyDescent="0.25">
      <c r="A122" s="84" t="s">
        <v>179</v>
      </c>
      <c r="B122" s="85"/>
      <c r="C122" s="86"/>
      <c r="D122" s="95"/>
      <c r="E122" s="112"/>
      <c r="F122" s="95">
        <f>D122+H122</f>
        <v>17600</v>
      </c>
      <c r="G122" s="113"/>
      <c r="H122" s="42">
        <v>17600</v>
      </c>
      <c r="I122" s="90" t="s">
        <v>190</v>
      </c>
      <c r="J122" s="91"/>
      <c r="K122" s="92"/>
    </row>
    <row r="123" spans="1:11" ht="34.5" customHeight="1" x14ac:dyDescent="0.25">
      <c r="A123" s="172" t="s">
        <v>35</v>
      </c>
      <c r="B123" s="179"/>
      <c r="C123" s="180"/>
      <c r="D123" s="54">
        <f>D124</f>
        <v>25890.91</v>
      </c>
      <c r="E123" s="55"/>
      <c r="F123" s="54">
        <f>F124</f>
        <v>55205.91</v>
      </c>
      <c r="G123" s="55"/>
      <c r="H123" s="45">
        <f>H124</f>
        <v>29315</v>
      </c>
      <c r="I123" s="90"/>
      <c r="J123" s="91"/>
      <c r="K123" s="92"/>
    </row>
    <row r="124" spans="1:11" s="3" customFormat="1" ht="76.5" customHeight="1" x14ac:dyDescent="0.25">
      <c r="A124" s="67" t="s">
        <v>122</v>
      </c>
      <c r="B124" s="68"/>
      <c r="C124" s="69"/>
      <c r="D124" s="95">
        <v>25890.91</v>
      </c>
      <c r="E124" s="112"/>
      <c r="F124" s="95">
        <f>D124+H124</f>
        <v>55205.91</v>
      </c>
      <c r="G124" s="113"/>
      <c r="H124" s="42">
        <v>29315</v>
      </c>
      <c r="I124" s="90" t="s">
        <v>193</v>
      </c>
      <c r="J124" s="91"/>
      <c r="K124" s="92"/>
    </row>
    <row r="125" spans="1:11" x14ac:dyDescent="0.25">
      <c r="A125" s="64" t="s">
        <v>11</v>
      </c>
      <c r="B125" s="64"/>
      <c r="C125" s="64"/>
      <c r="D125" s="65">
        <f>D97+D98+D99+D102+D103+D105+D114+D116+D123</f>
        <v>979104.66</v>
      </c>
      <c r="E125" s="66"/>
      <c r="F125" s="65">
        <f>F97+F98+F99+F102+F103+F105+F114+F116+F118+F123</f>
        <v>1034524.66</v>
      </c>
      <c r="G125" s="66"/>
      <c r="H125" s="38">
        <f>H105+H114+H116++H118+H123</f>
        <v>55420</v>
      </c>
      <c r="I125" s="50"/>
      <c r="J125" s="50"/>
      <c r="K125" s="50"/>
    </row>
    <row r="126" spans="1:11" ht="12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1:11" x14ac:dyDescent="0.25">
      <c r="A127" s="75" t="s">
        <v>50</v>
      </c>
      <c r="B127" s="75"/>
      <c r="C127" s="75"/>
      <c r="D127" s="75"/>
      <c r="E127" s="75"/>
      <c r="F127" s="75"/>
      <c r="G127" s="75"/>
      <c r="H127" s="75"/>
      <c r="I127" s="75"/>
      <c r="J127" s="75"/>
      <c r="K127" s="75"/>
    </row>
    <row r="128" spans="1:11" ht="8.25" customHeight="1" x14ac:dyDescent="0.25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</row>
    <row r="129" spans="1:11" x14ac:dyDescent="0.25">
      <c r="A129" s="50"/>
      <c r="B129" s="50"/>
      <c r="C129" s="50"/>
      <c r="D129" s="71" t="s">
        <v>5</v>
      </c>
      <c r="E129" s="71"/>
      <c r="F129" s="71" t="s">
        <v>6</v>
      </c>
      <c r="G129" s="71"/>
      <c r="H129" s="24" t="s">
        <v>14</v>
      </c>
      <c r="I129" s="72" t="s">
        <v>13</v>
      </c>
      <c r="J129" s="73"/>
      <c r="K129" s="74"/>
    </row>
    <row r="130" spans="1:11" ht="18.75" customHeight="1" x14ac:dyDescent="0.25">
      <c r="A130" s="51" t="s">
        <v>19</v>
      </c>
      <c r="B130" s="52"/>
      <c r="C130" s="53"/>
      <c r="D130" s="54">
        <f>SUM(D131:E135)</f>
        <v>1340730</v>
      </c>
      <c r="E130" s="55"/>
      <c r="F130" s="54">
        <f>F131+F132+F133+F134+F135</f>
        <v>1340730</v>
      </c>
      <c r="G130" s="55"/>
      <c r="H130" s="13"/>
      <c r="I130" s="56"/>
      <c r="J130" s="57"/>
      <c r="K130" s="58"/>
    </row>
    <row r="131" spans="1:11" ht="30" customHeight="1" x14ac:dyDescent="0.25">
      <c r="A131" s="84" t="s">
        <v>95</v>
      </c>
      <c r="B131" s="152"/>
      <c r="C131" s="153"/>
      <c r="D131" s="95">
        <v>208263.4</v>
      </c>
      <c r="E131" s="113"/>
      <c r="F131" s="95">
        <f t="shared" ref="F131" si="8">D131+H131</f>
        <v>208263.4</v>
      </c>
      <c r="G131" s="113"/>
      <c r="H131" s="15"/>
      <c r="I131" s="167"/>
      <c r="J131" s="168"/>
      <c r="K131" s="169"/>
    </row>
    <row r="132" spans="1:11" ht="30" customHeight="1" x14ac:dyDescent="0.25">
      <c r="A132" s="84" t="s">
        <v>96</v>
      </c>
      <c r="B132" s="170"/>
      <c r="C132" s="171"/>
      <c r="D132" s="95">
        <v>0</v>
      </c>
      <c r="E132" s="112"/>
      <c r="F132" s="95">
        <f>D132+H132</f>
        <v>0</v>
      </c>
      <c r="G132" s="112"/>
      <c r="H132" s="15"/>
      <c r="I132" s="167"/>
      <c r="J132" s="168"/>
      <c r="K132" s="169"/>
    </row>
    <row r="133" spans="1:11" ht="30" customHeight="1" x14ac:dyDescent="0.25">
      <c r="A133" s="84" t="s">
        <v>150</v>
      </c>
      <c r="B133" s="170"/>
      <c r="C133" s="171"/>
      <c r="D133" s="95">
        <v>99743</v>
      </c>
      <c r="E133" s="112"/>
      <c r="F133" s="95">
        <f>D133+H133</f>
        <v>99743</v>
      </c>
      <c r="G133" s="112"/>
      <c r="H133" s="15"/>
      <c r="I133" s="167"/>
      <c r="J133" s="168"/>
      <c r="K133" s="169"/>
    </row>
    <row r="134" spans="1:11" ht="21" customHeight="1" x14ac:dyDescent="0.25">
      <c r="A134" s="84" t="s">
        <v>106</v>
      </c>
      <c r="B134" s="170"/>
      <c r="C134" s="171"/>
      <c r="D134" s="95">
        <v>547343.31999999995</v>
      </c>
      <c r="E134" s="112"/>
      <c r="F134" s="95">
        <f>D134+H134</f>
        <v>547343.31999999995</v>
      </c>
      <c r="G134" s="112"/>
      <c r="H134" s="15"/>
      <c r="I134" s="56"/>
      <c r="J134" s="57"/>
      <c r="K134" s="58"/>
    </row>
    <row r="135" spans="1:11" ht="24.75" customHeight="1" x14ac:dyDescent="0.25">
      <c r="A135" s="84" t="s">
        <v>151</v>
      </c>
      <c r="B135" s="170"/>
      <c r="C135" s="171"/>
      <c r="D135" s="95">
        <v>485380.28</v>
      </c>
      <c r="E135" s="112"/>
      <c r="F135" s="95">
        <f>D135+H135</f>
        <v>485380.28</v>
      </c>
      <c r="G135" s="112"/>
      <c r="H135" s="15"/>
      <c r="I135" s="56"/>
      <c r="J135" s="57"/>
      <c r="K135" s="58"/>
    </row>
    <row r="136" spans="1:11" x14ac:dyDescent="0.25">
      <c r="A136" s="64" t="s">
        <v>11</v>
      </c>
      <c r="B136" s="64"/>
      <c r="C136" s="64"/>
      <c r="D136" s="65">
        <f>D130</f>
        <v>1340730</v>
      </c>
      <c r="E136" s="66"/>
      <c r="F136" s="65">
        <f>F130</f>
        <v>1340730</v>
      </c>
      <c r="G136" s="66"/>
      <c r="H136" s="28"/>
      <c r="I136" s="50"/>
      <c r="J136" s="50"/>
      <c r="K136" s="50"/>
    </row>
    <row r="137" spans="1:11" ht="45" customHeight="1" x14ac:dyDescent="0.25">
      <c r="A137" s="166" t="s">
        <v>27</v>
      </c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</row>
    <row r="138" spans="1:11" ht="30.75" customHeight="1" x14ac:dyDescent="0.25">
      <c r="A138" s="166" t="s">
        <v>97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</row>
    <row r="139" spans="1:11" ht="20.2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 ht="20.2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 ht="15" customHeight="1" x14ac:dyDescent="0.25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</row>
    <row r="142" spans="1:11" ht="134.25" customHeight="1" x14ac:dyDescent="0.25">
      <c r="A142" s="189" t="s">
        <v>110</v>
      </c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</row>
    <row r="143" spans="1:11" x14ac:dyDescent="0.2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</row>
    <row r="144" spans="1:11" x14ac:dyDescent="0.25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</row>
    <row r="145" spans="1:11" x14ac:dyDescent="0.2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</row>
    <row r="146" spans="1:11" x14ac:dyDescent="0.25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</row>
    <row r="147" spans="1:11" x14ac:dyDescent="0.25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</row>
    <row r="148" spans="1:11" x14ac:dyDescent="0.25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</row>
    <row r="149" spans="1:11" x14ac:dyDescent="0.25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</row>
    <row r="150" spans="1:11" x14ac:dyDescent="0.25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</row>
    <row r="151" spans="1:11" x14ac:dyDescent="0.25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</row>
  </sheetData>
  <mergeCells count="453">
    <mergeCell ref="A122:C122"/>
    <mergeCell ref="D122:E122"/>
    <mergeCell ref="F122:G122"/>
    <mergeCell ref="I122:K122"/>
    <mergeCell ref="A121:C121"/>
    <mergeCell ref="D121:E121"/>
    <mergeCell ref="I120:K121"/>
    <mergeCell ref="A116:C116"/>
    <mergeCell ref="D116:E116"/>
    <mergeCell ref="F116:G116"/>
    <mergeCell ref="I116:K116"/>
    <mergeCell ref="F121:G121"/>
    <mergeCell ref="A120:C120"/>
    <mergeCell ref="D120:E120"/>
    <mergeCell ref="F120:G120"/>
    <mergeCell ref="F109:G109"/>
    <mergeCell ref="F113:G113"/>
    <mergeCell ref="I113:K113"/>
    <mergeCell ref="A112:C112"/>
    <mergeCell ref="D112:E112"/>
    <mergeCell ref="F112:G112"/>
    <mergeCell ref="I112:K112"/>
    <mergeCell ref="A115:C115"/>
    <mergeCell ref="D115:E115"/>
    <mergeCell ref="F115:G115"/>
    <mergeCell ref="I115:K115"/>
    <mergeCell ref="A147:K147"/>
    <mergeCell ref="A148:K148"/>
    <mergeCell ref="A149:K149"/>
    <mergeCell ref="A150:K150"/>
    <mergeCell ref="A151:K151"/>
    <mergeCell ref="I132:K132"/>
    <mergeCell ref="I133:K133"/>
    <mergeCell ref="A141:K141"/>
    <mergeCell ref="A142:K142"/>
    <mergeCell ref="A143:K143"/>
    <mergeCell ref="A144:K144"/>
    <mergeCell ref="A145:K145"/>
    <mergeCell ref="A146:K146"/>
    <mergeCell ref="A136:C136"/>
    <mergeCell ref="D136:E136"/>
    <mergeCell ref="F136:G136"/>
    <mergeCell ref="I136:K136"/>
    <mergeCell ref="A137:K137"/>
    <mergeCell ref="A138:K138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32:C132"/>
    <mergeCell ref="D132:E132"/>
    <mergeCell ref="F132:G132"/>
    <mergeCell ref="A133:C133"/>
    <mergeCell ref="D133:E133"/>
    <mergeCell ref="F133:G133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7:K127"/>
    <mergeCell ref="A128:K128"/>
    <mergeCell ref="A129:C129"/>
    <mergeCell ref="D129:E129"/>
    <mergeCell ref="F129:G129"/>
    <mergeCell ref="I129:K129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17:C117"/>
    <mergeCell ref="D117:E117"/>
    <mergeCell ref="F117:G117"/>
    <mergeCell ref="I117:K117"/>
    <mergeCell ref="A123:C123"/>
    <mergeCell ref="D123:E123"/>
    <mergeCell ref="F123:G123"/>
    <mergeCell ref="I123:K123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07:C107"/>
    <mergeCell ref="D107:E107"/>
    <mergeCell ref="F107:G107"/>
    <mergeCell ref="I107:K107"/>
    <mergeCell ref="A114:C114"/>
    <mergeCell ref="D114:E114"/>
    <mergeCell ref="F114:G114"/>
    <mergeCell ref="I114:K114"/>
    <mergeCell ref="A113:C113"/>
    <mergeCell ref="D113:E113"/>
    <mergeCell ref="I108:K109"/>
    <mergeCell ref="A108:C108"/>
    <mergeCell ref="D108:E108"/>
    <mergeCell ref="F108:G108"/>
    <mergeCell ref="A111:C111"/>
    <mergeCell ref="D111:E111"/>
    <mergeCell ref="F111:G111"/>
    <mergeCell ref="I111:K111"/>
    <mergeCell ref="A110:C110"/>
    <mergeCell ref="D110:E110"/>
    <mergeCell ref="F110:G110"/>
    <mergeCell ref="I110:K110"/>
    <mergeCell ref="A109:C109"/>
    <mergeCell ref="D109:E109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8"/>
    <mergeCell ref="A98:C98"/>
    <mergeCell ref="D98:E98"/>
    <mergeCell ref="F98:G98"/>
    <mergeCell ref="A92:C92"/>
    <mergeCell ref="D92:E92"/>
    <mergeCell ref="F92:G92"/>
    <mergeCell ref="I92:K92"/>
    <mergeCell ref="A94:K94"/>
    <mergeCell ref="A96:C96"/>
    <mergeCell ref="D96:E96"/>
    <mergeCell ref="F96:G96"/>
    <mergeCell ref="I96:K96"/>
    <mergeCell ref="I91:K91"/>
    <mergeCell ref="I86:K90"/>
    <mergeCell ref="A90:C90"/>
    <mergeCell ref="D90:E90"/>
    <mergeCell ref="F90:G90"/>
    <mergeCell ref="A91:C91"/>
    <mergeCell ref="D91:E91"/>
    <mergeCell ref="F91:G91"/>
    <mergeCell ref="F87:G87"/>
    <mergeCell ref="A88:C88"/>
    <mergeCell ref="D88:E88"/>
    <mergeCell ref="F88:G88"/>
    <mergeCell ref="A89:C89"/>
    <mergeCell ref="D89:E89"/>
    <mergeCell ref="F89:G89"/>
    <mergeCell ref="A85:C85"/>
    <mergeCell ref="D85:E85"/>
    <mergeCell ref="F85:G85"/>
    <mergeCell ref="I85:K85"/>
    <mergeCell ref="A86:C86"/>
    <mergeCell ref="D86:E86"/>
    <mergeCell ref="F86:G86"/>
    <mergeCell ref="A87:C87"/>
    <mergeCell ref="D87:E87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F32:G32"/>
    <mergeCell ref="A33:C33"/>
    <mergeCell ref="D33:E33"/>
    <mergeCell ref="F33:G33"/>
    <mergeCell ref="I33:K33"/>
    <mergeCell ref="A34:C34"/>
    <mergeCell ref="D34:E34"/>
    <mergeCell ref="F34:G34"/>
    <mergeCell ref="I34:K34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A24:C24"/>
    <mergeCell ref="D24:E24"/>
    <mergeCell ref="F24:G24"/>
    <mergeCell ref="H24:J24"/>
    <mergeCell ref="A26:J26"/>
    <mergeCell ref="A28:J28"/>
    <mergeCell ref="A22:C22"/>
    <mergeCell ref="D22:E22"/>
    <mergeCell ref="F22:G22"/>
    <mergeCell ref="H22:J22"/>
    <mergeCell ref="A23:C23"/>
    <mergeCell ref="D23:E23"/>
    <mergeCell ref="F23:G23"/>
    <mergeCell ref="H23:J23"/>
    <mergeCell ref="A20:C20"/>
    <mergeCell ref="D20:E20"/>
    <mergeCell ref="F20:G20"/>
    <mergeCell ref="H20:J20"/>
    <mergeCell ref="A21:C21"/>
    <mergeCell ref="D21:E21"/>
    <mergeCell ref="F21:G21"/>
    <mergeCell ref="H21:J21"/>
    <mergeCell ref="A14:J14"/>
    <mergeCell ref="A16:J16"/>
    <mergeCell ref="A17:J17"/>
    <mergeCell ref="A19:C19"/>
    <mergeCell ref="D19:E19"/>
    <mergeCell ref="F19:G19"/>
    <mergeCell ref="H19:J19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31496062992125984" right="0.31496062992125984" top="0.35433070866141736" bottom="0.35433070866141736" header="0.31496062992125984" footer="0.31496062992125984"/>
  <pageSetup paperSize="9" scale="75" fitToHeight="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5"/>
  <sheetViews>
    <sheetView topLeftCell="A59" workbookViewId="0">
      <selection activeCell="I114" sqref="I114:K114"/>
    </sheetView>
  </sheetViews>
  <sheetFormatPr defaultRowHeight="15" x14ac:dyDescent="0.25"/>
  <cols>
    <col min="1" max="1" width="15.140625" customWidth="1"/>
    <col min="2" max="2" width="14.28515625" customWidth="1"/>
    <col min="3" max="3" width="17.5703125" customWidth="1"/>
    <col min="4" max="4" width="10" bestFit="1" customWidth="1"/>
    <col min="5" max="5" width="9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114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114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114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 x14ac:dyDescent="0.25">
      <c r="A5" s="114"/>
      <c r="B5" s="70"/>
      <c r="C5" s="70"/>
      <c r="D5" s="70"/>
      <c r="E5" s="70"/>
      <c r="F5" s="70"/>
      <c r="G5" s="70"/>
      <c r="H5" s="70"/>
      <c r="I5" s="70"/>
    </row>
    <row r="6" spans="1:10" x14ac:dyDescent="0.25">
      <c r="A6" s="223" t="s">
        <v>204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10" ht="15.75" x14ac:dyDescent="0.25">
      <c r="A7" s="114"/>
      <c r="B7" s="70"/>
      <c r="C7" s="70"/>
      <c r="D7" s="70"/>
      <c r="E7" s="70"/>
      <c r="F7" s="70"/>
      <c r="G7" s="70"/>
      <c r="H7" s="70"/>
      <c r="I7" s="70"/>
      <c r="J7" s="70"/>
    </row>
    <row r="8" spans="1:10" ht="46.5" customHeight="1" x14ac:dyDescent="0.25">
      <c r="A8" s="129" t="s">
        <v>3</v>
      </c>
      <c r="B8" s="130"/>
      <c r="C8" s="130"/>
      <c r="D8" s="130"/>
      <c r="E8" s="130"/>
      <c r="F8" s="130"/>
      <c r="G8" s="130"/>
      <c r="H8" s="130"/>
      <c r="I8" s="130"/>
      <c r="J8" s="70"/>
    </row>
    <row r="9" spans="1:10" ht="7.5" customHeight="1" x14ac:dyDescent="0.25">
      <c r="A9" s="114"/>
      <c r="B9" s="70"/>
      <c r="C9" s="70"/>
      <c r="D9" s="70"/>
      <c r="E9" s="70"/>
      <c r="F9" s="70"/>
      <c r="G9" s="70"/>
      <c r="H9" s="70"/>
      <c r="I9" s="70"/>
    </row>
    <row r="10" spans="1:10" ht="137.25" customHeight="1" x14ac:dyDescent="0.3">
      <c r="A10" s="194" t="s">
        <v>149</v>
      </c>
      <c r="B10" s="195"/>
      <c r="C10" s="195"/>
      <c r="D10" s="195"/>
      <c r="E10" s="195"/>
      <c r="F10" s="195"/>
      <c r="G10" s="195"/>
      <c r="H10" s="195"/>
      <c r="I10" s="195"/>
      <c r="J10" s="19"/>
    </row>
    <row r="11" spans="1:10" ht="18" customHeight="1" x14ac:dyDescent="0.25">
      <c r="A11" s="126" t="s">
        <v>125</v>
      </c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ht="49.5" customHeight="1" x14ac:dyDescent="0.25">
      <c r="A12" s="126" t="s">
        <v>226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ht="15.75" x14ac:dyDescent="0.25">
      <c r="A13" s="131" t="s">
        <v>30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ht="50.25" customHeight="1" x14ac:dyDescent="0.25">
      <c r="A14" s="203" t="s">
        <v>195</v>
      </c>
      <c r="B14" s="130"/>
      <c r="C14" s="130"/>
      <c r="D14" s="130"/>
      <c r="E14" s="130"/>
      <c r="F14" s="130"/>
      <c r="G14" s="130"/>
      <c r="H14" s="130"/>
      <c r="I14" s="130"/>
      <c r="J14" s="70"/>
    </row>
    <row r="15" spans="1:10" ht="12.7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15.75" x14ac:dyDescent="0.25">
      <c r="A16" s="114" t="s">
        <v>4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1" ht="15.75" x14ac:dyDescent="0.25">
      <c r="A17" s="115" t="s">
        <v>200</v>
      </c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1" ht="15.75" x14ac:dyDescent="0.25">
      <c r="A18" s="2"/>
    </row>
    <row r="19" spans="1:11" ht="15.75" x14ac:dyDescent="0.25">
      <c r="A19" s="117"/>
      <c r="B19" s="118"/>
      <c r="C19" s="118"/>
      <c r="D19" s="71" t="s">
        <v>21</v>
      </c>
      <c r="E19" s="71"/>
      <c r="F19" s="71" t="s">
        <v>6</v>
      </c>
      <c r="G19" s="71"/>
      <c r="H19" s="117" t="s">
        <v>14</v>
      </c>
      <c r="I19" s="71"/>
      <c r="J19" s="71"/>
    </row>
    <row r="20" spans="1:11" ht="30" customHeight="1" x14ac:dyDescent="0.25">
      <c r="A20" s="137" t="s">
        <v>7</v>
      </c>
      <c r="B20" s="138"/>
      <c r="C20" s="138"/>
      <c r="D20" s="139">
        <v>10266198</v>
      </c>
      <c r="E20" s="139"/>
      <c r="F20" s="139">
        <f>D20+H20</f>
        <v>10266198</v>
      </c>
      <c r="G20" s="139"/>
      <c r="H20" s="222"/>
      <c r="I20" s="222"/>
      <c r="J20" s="222"/>
    </row>
    <row r="21" spans="1:11" x14ac:dyDescent="0.25">
      <c r="A21" s="137" t="s">
        <v>8</v>
      </c>
      <c r="B21" s="138"/>
      <c r="C21" s="138"/>
      <c r="D21" s="139">
        <f>308006.4+537000+495723.6</f>
        <v>1340730</v>
      </c>
      <c r="E21" s="139"/>
      <c r="F21" s="139">
        <f t="shared" ref="F21:F23" si="0">D21+H21</f>
        <v>1340730</v>
      </c>
      <c r="G21" s="139"/>
      <c r="H21" s="222"/>
      <c r="I21" s="222"/>
      <c r="J21" s="222"/>
    </row>
    <row r="22" spans="1:11" x14ac:dyDescent="0.25">
      <c r="A22" s="137" t="s">
        <v>9</v>
      </c>
      <c r="B22" s="138"/>
      <c r="C22" s="138"/>
      <c r="D22" s="139">
        <v>0</v>
      </c>
      <c r="E22" s="139"/>
      <c r="F22" s="139">
        <f t="shared" si="0"/>
        <v>0</v>
      </c>
      <c r="G22" s="139"/>
      <c r="H22" s="222"/>
      <c r="I22" s="222"/>
      <c r="J22" s="222"/>
    </row>
    <row r="23" spans="1:11" ht="30" customHeight="1" x14ac:dyDescent="0.25">
      <c r="A23" s="142" t="s">
        <v>10</v>
      </c>
      <c r="B23" s="143"/>
      <c r="C23" s="144"/>
      <c r="D23" s="139">
        <v>1034524.66</v>
      </c>
      <c r="E23" s="139"/>
      <c r="F23" s="204">
        <f t="shared" si="0"/>
        <v>1027240.66</v>
      </c>
      <c r="G23" s="204"/>
      <c r="H23" s="222">
        <v>-7284</v>
      </c>
      <c r="I23" s="222"/>
      <c r="J23" s="222"/>
    </row>
    <row r="24" spans="1:11" ht="15.75" x14ac:dyDescent="0.25">
      <c r="A24" s="117" t="s">
        <v>11</v>
      </c>
      <c r="B24" s="145"/>
      <c r="C24" s="145"/>
      <c r="D24" s="133">
        <f>D20+D21+D22+D23</f>
        <v>12641452.66</v>
      </c>
      <c r="E24" s="133"/>
      <c r="F24" s="133">
        <f>SUM(F20:G23)</f>
        <v>12634168.66</v>
      </c>
      <c r="G24" s="133"/>
      <c r="H24" s="225">
        <f>H20+H21+H22+H23</f>
        <v>-7284</v>
      </c>
      <c r="I24" s="226"/>
      <c r="J24" s="226"/>
    </row>
    <row r="25" spans="1:11" ht="15.75" x14ac:dyDescent="0.25">
      <c r="A25" s="16"/>
      <c r="B25" s="17"/>
      <c r="C25" s="17"/>
      <c r="D25" s="31"/>
      <c r="E25" s="31"/>
      <c r="F25" s="31"/>
      <c r="G25" s="31"/>
      <c r="H25" s="18"/>
      <c r="I25" s="9"/>
      <c r="J25" s="9"/>
    </row>
    <row r="26" spans="1:11" ht="15.75" x14ac:dyDescent="0.25">
      <c r="A26" s="115" t="s">
        <v>201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8" spans="1:11" x14ac:dyDescent="0.25">
      <c r="A28" s="136" t="s">
        <v>12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1" ht="10.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1" s="3" customFormat="1" x14ac:dyDescent="0.25">
      <c r="A30" s="50"/>
      <c r="B30" s="50"/>
      <c r="C30" s="50"/>
      <c r="D30" s="71" t="s">
        <v>21</v>
      </c>
      <c r="E30" s="71"/>
      <c r="F30" s="71" t="s">
        <v>6</v>
      </c>
      <c r="G30" s="71"/>
      <c r="H30" s="24" t="s">
        <v>14</v>
      </c>
      <c r="I30" s="72" t="s">
        <v>13</v>
      </c>
      <c r="J30" s="73"/>
      <c r="K30" s="74"/>
    </row>
    <row r="31" spans="1:11" s="3" customFormat="1" ht="17.45" customHeight="1" x14ac:dyDescent="0.25">
      <c r="A31" s="121" t="s">
        <v>15</v>
      </c>
      <c r="B31" s="121"/>
      <c r="C31" s="121"/>
      <c r="D31" s="54">
        <v>4101924.57</v>
      </c>
      <c r="E31" s="55"/>
      <c r="F31" s="54">
        <f t="shared" ref="F31:F37" si="1">D31+H31</f>
        <v>4101924.57</v>
      </c>
      <c r="G31" s="55"/>
      <c r="H31" s="48"/>
      <c r="I31" s="206"/>
      <c r="J31" s="207"/>
      <c r="K31" s="208"/>
    </row>
    <row r="32" spans="1:11" s="3" customFormat="1" ht="17.45" customHeight="1" x14ac:dyDescent="0.25">
      <c r="A32" s="51" t="s">
        <v>16</v>
      </c>
      <c r="B32" s="52"/>
      <c r="C32" s="53"/>
      <c r="D32" s="119">
        <v>1238781.21</v>
      </c>
      <c r="E32" s="120"/>
      <c r="F32" s="54">
        <f t="shared" si="1"/>
        <v>1238781.21</v>
      </c>
      <c r="G32" s="55"/>
      <c r="H32" s="48"/>
      <c r="I32" s="215"/>
      <c r="J32" s="216"/>
      <c r="K32" s="217"/>
    </row>
    <row r="33" spans="1:11" s="3" customFormat="1" ht="16.5" customHeight="1" x14ac:dyDescent="0.25">
      <c r="A33" s="121" t="s">
        <v>18</v>
      </c>
      <c r="B33" s="121"/>
      <c r="C33" s="121"/>
      <c r="D33" s="54">
        <f>SUM(D34:E37)</f>
        <v>18824.400000000001</v>
      </c>
      <c r="E33" s="55"/>
      <c r="F33" s="54">
        <f t="shared" si="1"/>
        <v>18824.400000000001</v>
      </c>
      <c r="G33" s="55"/>
      <c r="H33" s="26">
        <f>SUM(H34:H37)</f>
        <v>0</v>
      </c>
      <c r="I33" s="151"/>
      <c r="J33" s="151"/>
      <c r="K33" s="151"/>
    </row>
    <row r="34" spans="1:11" s="3" customFormat="1" ht="16.5" customHeight="1" x14ac:dyDescent="0.25">
      <c r="A34" s="154" t="s">
        <v>41</v>
      </c>
      <c r="B34" s="155"/>
      <c r="C34" s="96"/>
      <c r="D34" s="95">
        <v>14400</v>
      </c>
      <c r="E34" s="112"/>
      <c r="F34" s="95">
        <f t="shared" si="1"/>
        <v>14400</v>
      </c>
      <c r="G34" s="113"/>
      <c r="H34" s="10"/>
      <c r="I34" s="90"/>
      <c r="J34" s="91"/>
      <c r="K34" s="92"/>
    </row>
    <row r="35" spans="1:11" s="3" customFormat="1" ht="16.5" customHeight="1" x14ac:dyDescent="0.25">
      <c r="A35" s="154" t="s">
        <v>202</v>
      </c>
      <c r="B35" s="155"/>
      <c r="C35" s="96"/>
      <c r="D35" s="95">
        <v>2647.2</v>
      </c>
      <c r="E35" s="112"/>
      <c r="F35" s="95">
        <f t="shared" si="1"/>
        <v>2647.2</v>
      </c>
      <c r="G35" s="113"/>
      <c r="H35" s="10"/>
      <c r="I35" s="151"/>
      <c r="J35" s="151"/>
      <c r="K35" s="151"/>
    </row>
    <row r="36" spans="1:11" s="3" customFormat="1" ht="16.5" customHeight="1" x14ac:dyDescent="0.25">
      <c r="A36" s="84" t="s">
        <v>68</v>
      </c>
      <c r="B36" s="152"/>
      <c r="C36" s="153"/>
      <c r="D36" s="95">
        <v>277.2</v>
      </c>
      <c r="E36" s="112"/>
      <c r="F36" s="95">
        <f t="shared" si="1"/>
        <v>277.2</v>
      </c>
      <c r="G36" s="113"/>
      <c r="H36" s="10"/>
      <c r="I36" s="90"/>
      <c r="J36" s="91"/>
      <c r="K36" s="92"/>
    </row>
    <row r="37" spans="1:11" s="3" customFormat="1" ht="20.25" customHeight="1" x14ac:dyDescent="0.25">
      <c r="A37" s="84" t="s">
        <v>70</v>
      </c>
      <c r="B37" s="152"/>
      <c r="C37" s="153"/>
      <c r="D37" s="95">
        <v>1500</v>
      </c>
      <c r="E37" s="112"/>
      <c r="F37" s="95">
        <f t="shared" si="1"/>
        <v>1500</v>
      </c>
      <c r="G37" s="113"/>
      <c r="H37" s="10"/>
      <c r="I37" s="90"/>
      <c r="J37" s="91"/>
      <c r="K37" s="92"/>
    </row>
    <row r="38" spans="1:11" s="3" customFormat="1" ht="16.5" customHeight="1" x14ac:dyDescent="0.25">
      <c r="A38" s="51" t="s">
        <v>17</v>
      </c>
      <c r="B38" s="52"/>
      <c r="C38" s="53"/>
      <c r="D38" s="149">
        <f>SUM(D39:E41)</f>
        <v>672212.77</v>
      </c>
      <c r="E38" s="150"/>
      <c r="F38" s="149">
        <f>H38+D38</f>
        <v>672212.77</v>
      </c>
      <c r="G38" s="150"/>
      <c r="H38" s="39">
        <f>SUM(H39:H41)</f>
        <v>0</v>
      </c>
      <c r="I38" s="151"/>
      <c r="J38" s="151"/>
      <c r="K38" s="151"/>
    </row>
    <row r="39" spans="1:11" s="3" customFormat="1" ht="23.25" customHeight="1" x14ac:dyDescent="0.25">
      <c r="A39" s="84" t="s">
        <v>158</v>
      </c>
      <c r="B39" s="85"/>
      <c r="C39" s="86"/>
      <c r="D39" s="95">
        <v>642804.4</v>
      </c>
      <c r="E39" s="112"/>
      <c r="F39" s="95">
        <f>H39+D39</f>
        <v>642804.4</v>
      </c>
      <c r="G39" s="113"/>
      <c r="H39" s="45"/>
      <c r="I39" s="90"/>
      <c r="J39" s="91"/>
      <c r="K39" s="92"/>
    </row>
    <row r="40" spans="1:11" s="3" customFormat="1" ht="24" customHeight="1" x14ac:dyDescent="0.25">
      <c r="A40" s="84" t="s">
        <v>203</v>
      </c>
      <c r="B40" s="85"/>
      <c r="C40" s="86"/>
      <c r="D40" s="95">
        <f>3*2800.19</f>
        <v>8400.57</v>
      </c>
      <c r="E40" s="112"/>
      <c r="F40" s="95">
        <f>H40+D40</f>
        <v>8400.57</v>
      </c>
      <c r="G40" s="113"/>
      <c r="H40" s="42"/>
      <c r="I40" s="90"/>
      <c r="J40" s="91"/>
      <c r="K40" s="92"/>
    </row>
    <row r="41" spans="1:11" s="3" customFormat="1" ht="34.5" customHeight="1" x14ac:dyDescent="0.25">
      <c r="A41" s="84" t="s">
        <v>72</v>
      </c>
      <c r="B41" s="85"/>
      <c r="C41" s="86"/>
      <c r="D41" s="95">
        <v>21007.8</v>
      </c>
      <c r="E41" s="112"/>
      <c r="F41" s="95">
        <f>H41+D41</f>
        <v>21007.8</v>
      </c>
      <c r="G41" s="113"/>
      <c r="H41" s="42"/>
      <c r="I41" s="90"/>
      <c r="J41" s="91"/>
      <c r="K41" s="92"/>
    </row>
    <row r="42" spans="1:11" s="3" customFormat="1" ht="19.5" customHeight="1" x14ac:dyDescent="0.25">
      <c r="A42" s="51" t="s">
        <v>19</v>
      </c>
      <c r="B42" s="52"/>
      <c r="C42" s="53"/>
      <c r="D42" s="149">
        <f>SUM(D43:E53)</f>
        <v>391012.25</v>
      </c>
      <c r="E42" s="150"/>
      <c r="F42" s="149">
        <f>D42+H42</f>
        <v>391012.25</v>
      </c>
      <c r="G42" s="150"/>
      <c r="H42" s="39">
        <f>SUM(H44:H53)</f>
        <v>0</v>
      </c>
      <c r="I42" s="122"/>
      <c r="J42" s="123"/>
      <c r="K42" s="124"/>
    </row>
    <row r="43" spans="1:11" s="3" customFormat="1" ht="65.25" customHeight="1" x14ac:dyDescent="0.25">
      <c r="A43" s="84" t="s">
        <v>74</v>
      </c>
      <c r="B43" s="85"/>
      <c r="C43" s="86"/>
      <c r="D43" s="59">
        <f>20000+3*10000+15000</f>
        <v>65000</v>
      </c>
      <c r="E43" s="60"/>
      <c r="F43" s="95">
        <f t="shared" ref="F43:F53" si="2">D43+H43</f>
        <v>65000</v>
      </c>
      <c r="G43" s="113"/>
      <c r="H43" s="40"/>
      <c r="I43" s="90"/>
      <c r="J43" s="91"/>
      <c r="K43" s="92"/>
    </row>
    <row r="44" spans="1:11" s="3" customFormat="1" ht="72" customHeight="1" x14ac:dyDescent="0.25">
      <c r="A44" s="84" t="s">
        <v>159</v>
      </c>
      <c r="B44" s="85"/>
      <c r="C44" s="86"/>
      <c r="D44" s="59">
        <v>35250</v>
      </c>
      <c r="E44" s="60"/>
      <c r="F44" s="95">
        <f t="shared" si="2"/>
        <v>35250</v>
      </c>
      <c r="G44" s="113"/>
      <c r="H44" s="42"/>
      <c r="I44" s="90"/>
      <c r="J44" s="91"/>
      <c r="K44" s="92"/>
    </row>
    <row r="45" spans="1:11" s="3" customFormat="1" ht="38.25" customHeight="1" x14ac:dyDescent="0.25">
      <c r="A45" s="84" t="s">
        <v>22</v>
      </c>
      <c r="B45" s="85"/>
      <c r="C45" s="86"/>
      <c r="D45" s="59">
        <v>1400</v>
      </c>
      <c r="E45" s="60"/>
      <c r="F45" s="95">
        <f t="shared" si="2"/>
        <v>1400</v>
      </c>
      <c r="G45" s="113"/>
      <c r="H45" s="42"/>
      <c r="I45" s="90"/>
      <c r="J45" s="91"/>
      <c r="K45" s="92"/>
    </row>
    <row r="46" spans="1:11" s="3" customFormat="1" ht="51.75" customHeight="1" x14ac:dyDescent="0.25">
      <c r="A46" s="84" t="s">
        <v>36</v>
      </c>
      <c r="B46" s="85"/>
      <c r="C46" s="86"/>
      <c r="D46" s="59">
        <f>62042.4+120339.85</f>
        <v>182382.25</v>
      </c>
      <c r="E46" s="60"/>
      <c r="F46" s="95">
        <f t="shared" si="2"/>
        <v>182382.25</v>
      </c>
      <c r="G46" s="113"/>
      <c r="H46" s="41"/>
      <c r="I46" s="156"/>
      <c r="J46" s="157"/>
      <c r="K46" s="158"/>
    </row>
    <row r="47" spans="1:11" s="3" customFormat="1" ht="36.75" customHeight="1" x14ac:dyDescent="0.25">
      <c r="A47" s="84" t="s">
        <v>168</v>
      </c>
      <c r="B47" s="85"/>
      <c r="C47" s="86"/>
      <c r="D47" s="59">
        <v>60140</v>
      </c>
      <c r="E47" s="60"/>
      <c r="F47" s="95">
        <f t="shared" si="2"/>
        <v>60140</v>
      </c>
      <c r="G47" s="113"/>
      <c r="H47" s="42"/>
      <c r="I47" s="90"/>
      <c r="J47" s="91"/>
      <c r="K47" s="92"/>
    </row>
    <row r="48" spans="1:11" s="3" customFormat="1" ht="16.5" customHeight="1" x14ac:dyDescent="0.25">
      <c r="A48" s="84" t="s">
        <v>102</v>
      </c>
      <c r="B48" s="85"/>
      <c r="C48" s="86"/>
      <c r="D48" s="59">
        <v>13440</v>
      </c>
      <c r="E48" s="60"/>
      <c r="F48" s="95">
        <f t="shared" si="2"/>
        <v>13440</v>
      </c>
      <c r="G48" s="113"/>
      <c r="H48" s="42"/>
      <c r="I48" s="90"/>
      <c r="J48" s="91"/>
      <c r="K48" s="92"/>
    </row>
    <row r="49" spans="1:11" s="3" customFormat="1" ht="37.5" customHeight="1" x14ac:dyDescent="0.25">
      <c r="A49" s="84" t="s">
        <v>51</v>
      </c>
      <c r="B49" s="85"/>
      <c r="C49" s="86"/>
      <c r="D49" s="59">
        <v>9000</v>
      </c>
      <c r="E49" s="60"/>
      <c r="F49" s="95">
        <f t="shared" si="2"/>
        <v>9000</v>
      </c>
      <c r="G49" s="113"/>
      <c r="H49" s="40"/>
      <c r="I49" s="122"/>
      <c r="J49" s="123"/>
      <c r="K49" s="124"/>
    </row>
    <row r="50" spans="1:11" s="3" customFormat="1" ht="16.5" customHeight="1" x14ac:dyDescent="0.25">
      <c r="A50" s="84" t="s">
        <v>23</v>
      </c>
      <c r="B50" s="85"/>
      <c r="C50" s="86"/>
      <c r="D50" s="59">
        <v>10000</v>
      </c>
      <c r="E50" s="60"/>
      <c r="F50" s="95">
        <f t="shared" si="2"/>
        <v>10000</v>
      </c>
      <c r="G50" s="113"/>
      <c r="H50" s="40"/>
      <c r="I50" s="122"/>
      <c r="J50" s="123"/>
      <c r="K50" s="124"/>
    </row>
    <row r="51" spans="1:11" s="3" customFormat="1" ht="16.5" customHeight="1" x14ac:dyDescent="0.25">
      <c r="A51" s="84" t="s">
        <v>61</v>
      </c>
      <c r="B51" s="85"/>
      <c r="C51" s="86"/>
      <c r="D51" s="59">
        <v>5000</v>
      </c>
      <c r="E51" s="60"/>
      <c r="F51" s="95">
        <f t="shared" si="2"/>
        <v>5000</v>
      </c>
      <c r="G51" s="113"/>
      <c r="H51" s="40"/>
      <c r="I51" s="122"/>
      <c r="J51" s="123"/>
      <c r="K51" s="124"/>
    </row>
    <row r="52" spans="1:11" s="3" customFormat="1" ht="24.75" customHeight="1" x14ac:dyDescent="0.25">
      <c r="A52" s="84" t="s">
        <v>32</v>
      </c>
      <c r="B52" s="159"/>
      <c r="C52" s="160"/>
      <c r="D52" s="59">
        <v>2400</v>
      </c>
      <c r="E52" s="161"/>
      <c r="F52" s="95">
        <f t="shared" si="2"/>
        <v>2400</v>
      </c>
      <c r="G52" s="113"/>
      <c r="H52" s="40"/>
      <c r="I52" s="122"/>
      <c r="J52" s="123"/>
      <c r="K52" s="124"/>
    </row>
    <row r="53" spans="1:11" s="3" customFormat="1" ht="24.75" customHeight="1" x14ac:dyDescent="0.25">
      <c r="A53" s="84" t="s">
        <v>76</v>
      </c>
      <c r="B53" s="159"/>
      <c r="C53" s="160"/>
      <c r="D53" s="59">
        <f>14*500</f>
        <v>7000</v>
      </c>
      <c r="E53" s="161"/>
      <c r="F53" s="95">
        <f t="shared" si="2"/>
        <v>7000</v>
      </c>
      <c r="G53" s="113"/>
      <c r="H53" s="40"/>
      <c r="I53" s="122"/>
      <c r="J53" s="123"/>
      <c r="K53" s="124"/>
    </row>
    <row r="54" spans="1:11" s="3" customFormat="1" ht="16.5" customHeight="1" x14ac:dyDescent="0.25">
      <c r="A54" s="51" t="s">
        <v>20</v>
      </c>
      <c r="B54" s="52"/>
      <c r="C54" s="53"/>
      <c r="D54" s="149">
        <f>SUM(D55:E68)</f>
        <v>3357820</v>
      </c>
      <c r="E54" s="150"/>
      <c r="F54" s="149">
        <f>SUM(F55:G68)</f>
        <v>3357820</v>
      </c>
      <c r="G54" s="150"/>
      <c r="H54" s="39">
        <f>SUM(H55:H68)</f>
        <v>0</v>
      </c>
      <c r="I54" s="151"/>
      <c r="J54" s="151"/>
      <c r="K54" s="151"/>
    </row>
    <row r="55" spans="1:11" s="3" customFormat="1" ht="27.75" customHeight="1" x14ac:dyDescent="0.25">
      <c r="A55" s="84" t="s">
        <v>52</v>
      </c>
      <c r="B55" s="85"/>
      <c r="C55" s="86"/>
      <c r="D55" s="87">
        <v>7027.2</v>
      </c>
      <c r="E55" s="88"/>
      <c r="F55" s="87">
        <f t="shared" ref="F55:F77" si="3">D55+H55</f>
        <v>7027.2</v>
      </c>
      <c r="G55" s="89"/>
      <c r="H55" s="43"/>
      <c r="I55" s="90"/>
      <c r="J55" s="91"/>
      <c r="K55" s="92"/>
    </row>
    <row r="56" spans="1:11" s="3" customFormat="1" ht="15.75" customHeight="1" x14ac:dyDescent="0.25">
      <c r="A56" s="84" t="s">
        <v>33</v>
      </c>
      <c r="B56" s="85"/>
      <c r="C56" s="86"/>
      <c r="D56" s="87">
        <v>20685.599999999999</v>
      </c>
      <c r="E56" s="88"/>
      <c r="F56" s="87">
        <f t="shared" si="3"/>
        <v>20685.599999999999</v>
      </c>
      <c r="G56" s="89"/>
      <c r="H56" s="44"/>
      <c r="I56" s="162"/>
      <c r="J56" s="163"/>
      <c r="K56" s="164"/>
    </row>
    <row r="57" spans="1:11" s="3" customFormat="1" ht="63" customHeight="1" x14ac:dyDescent="0.25">
      <c r="A57" s="84" t="s">
        <v>47</v>
      </c>
      <c r="B57" s="85"/>
      <c r="C57" s="86"/>
      <c r="D57" s="87">
        <v>50000</v>
      </c>
      <c r="E57" s="88"/>
      <c r="F57" s="87">
        <f t="shared" si="3"/>
        <v>50000</v>
      </c>
      <c r="G57" s="89"/>
      <c r="H57" s="43"/>
      <c r="I57" s="97"/>
      <c r="J57" s="98"/>
      <c r="K57" s="99"/>
    </row>
    <row r="58" spans="1:11" s="3" customFormat="1" ht="38.25" customHeight="1" x14ac:dyDescent="0.25">
      <c r="A58" s="84" t="s">
        <v>77</v>
      </c>
      <c r="B58" s="85"/>
      <c r="C58" s="86"/>
      <c r="D58" s="87">
        <v>31275.200000000001</v>
      </c>
      <c r="E58" s="88"/>
      <c r="F58" s="87">
        <f t="shared" si="3"/>
        <v>31275.200000000001</v>
      </c>
      <c r="G58" s="89"/>
      <c r="H58" s="47"/>
      <c r="I58" s="90"/>
      <c r="J58" s="91"/>
      <c r="K58" s="92"/>
    </row>
    <row r="59" spans="1:11" s="3" customFormat="1" ht="16.5" customHeight="1" x14ac:dyDescent="0.25">
      <c r="A59" s="84" t="s">
        <v>48</v>
      </c>
      <c r="B59" s="85"/>
      <c r="C59" s="86"/>
      <c r="D59" s="87">
        <v>300000</v>
      </c>
      <c r="E59" s="88"/>
      <c r="F59" s="87">
        <f t="shared" si="3"/>
        <v>300000</v>
      </c>
      <c r="G59" s="89"/>
      <c r="H59" s="47"/>
      <c r="I59" s="90"/>
      <c r="J59" s="91"/>
      <c r="K59" s="92"/>
    </row>
    <row r="60" spans="1:11" s="3" customFormat="1" ht="16.5" customHeight="1" x14ac:dyDescent="0.25">
      <c r="A60" s="84" t="s">
        <v>53</v>
      </c>
      <c r="B60" s="85"/>
      <c r="C60" s="86"/>
      <c r="D60" s="87">
        <v>8600</v>
      </c>
      <c r="E60" s="88"/>
      <c r="F60" s="87">
        <f t="shared" si="3"/>
        <v>8600</v>
      </c>
      <c r="G60" s="89"/>
      <c r="H60" s="47"/>
      <c r="I60" s="90"/>
      <c r="J60" s="91"/>
      <c r="K60" s="92"/>
    </row>
    <row r="61" spans="1:11" s="3" customFormat="1" ht="36.75" customHeight="1" x14ac:dyDescent="0.25">
      <c r="A61" s="84" t="s">
        <v>62</v>
      </c>
      <c r="B61" s="85"/>
      <c r="C61" s="86"/>
      <c r="D61" s="87">
        <v>29790</v>
      </c>
      <c r="E61" s="88"/>
      <c r="F61" s="87">
        <f t="shared" si="3"/>
        <v>29790</v>
      </c>
      <c r="G61" s="89"/>
      <c r="H61" s="47"/>
      <c r="I61" s="90"/>
      <c r="J61" s="91"/>
      <c r="K61" s="92"/>
    </row>
    <row r="62" spans="1:11" s="3" customFormat="1" ht="18" customHeight="1" x14ac:dyDescent="0.25">
      <c r="A62" s="84" t="s">
        <v>54</v>
      </c>
      <c r="B62" s="85"/>
      <c r="C62" s="86"/>
      <c r="D62" s="87">
        <v>51050</v>
      </c>
      <c r="E62" s="88"/>
      <c r="F62" s="87">
        <f t="shared" si="3"/>
        <v>51050</v>
      </c>
      <c r="G62" s="89"/>
      <c r="H62" s="47"/>
      <c r="I62" s="90"/>
      <c r="J62" s="91"/>
      <c r="K62" s="92"/>
    </row>
    <row r="63" spans="1:11" s="3" customFormat="1" ht="37.5" customHeight="1" x14ac:dyDescent="0.25">
      <c r="A63" s="84" t="s">
        <v>78</v>
      </c>
      <c r="B63" s="85"/>
      <c r="C63" s="86"/>
      <c r="D63" s="87">
        <v>0</v>
      </c>
      <c r="E63" s="88"/>
      <c r="F63" s="87">
        <f t="shared" si="3"/>
        <v>0</v>
      </c>
      <c r="G63" s="89"/>
      <c r="H63" s="47"/>
      <c r="I63" s="90"/>
      <c r="J63" s="91"/>
      <c r="K63" s="92"/>
    </row>
    <row r="64" spans="1:11" s="3" customFormat="1" ht="16.5" customHeight="1" x14ac:dyDescent="0.25">
      <c r="A64" s="84" t="s">
        <v>55</v>
      </c>
      <c r="B64" s="85"/>
      <c r="C64" s="86"/>
      <c r="D64" s="87">
        <v>13500</v>
      </c>
      <c r="E64" s="88"/>
      <c r="F64" s="87">
        <f t="shared" si="3"/>
        <v>13500</v>
      </c>
      <c r="G64" s="89"/>
      <c r="H64" s="47"/>
      <c r="I64" s="90"/>
      <c r="J64" s="91"/>
      <c r="K64" s="92"/>
    </row>
    <row r="65" spans="1:11" s="3" customFormat="1" ht="17.25" customHeight="1" x14ac:dyDescent="0.25">
      <c r="A65" s="84" t="s">
        <v>56</v>
      </c>
      <c r="B65" s="85"/>
      <c r="C65" s="86"/>
      <c r="D65" s="87">
        <v>21792</v>
      </c>
      <c r="E65" s="88"/>
      <c r="F65" s="87">
        <f t="shared" si="3"/>
        <v>21792</v>
      </c>
      <c r="G65" s="89"/>
      <c r="H65" s="47"/>
      <c r="I65" s="90"/>
      <c r="J65" s="91"/>
      <c r="K65" s="92"/>
    </row>
    <row r="66" spans="1:11" s="3" customFormat="1" ht="32.25" customHeight="1" x14ac:dyDescent="0.25">
      <c r="A66" s="84" t="s">
        <v>114</v>
      </c>
      <c r="B66" s="85"/>
      <c r="C66" s="86"/>
      <c r="D66" s="87">
        <v>8000</v>
      </c>
      <c r="E66" s="88"/>
      <c r="F66" s="87">
        <f t="shared" si="3"/>
        <v>8000</v>
      </c>
      <c r="G66" s="89"/>
      <c r="H66" s="47"/>
      <c r="I66" s="90"/>
      <c r="J66" s="91"/>
      <c r="K66" s="92"/>
    </row>
    <row r="67" spans="1:11" s="3" customFormat="1" ht="51" customHeight="1" x14ac:dyDescent="0.25">
      <c r="A67" s="84" t="s">
        <v>163</v>
      </c>
      <c r="B67" s="85"/>
      <c r="C67" s="86"/>
      <c r="D67" s="87">
        <v>60900</v>
      </c>
      <c r="E67" s="88"/>
      <c r="F67" s="87">
        <f t="shared" si="3"/>
        <v>60900</v>
      </c>
      <c r="G67" s="89"/>
      <c r="H67" s="47"/>
      <c r="I67" s="90"/>
      <c r="J67" s="91"/>
      <c r="K67" s="92"/>
    </row>
    <row r="68" spans="1:11" s="3" customFormat="1" ht="44.25" customHeight="1" x14ac:dyDescent="0.25">
      <c r="A68" s="84" t="s">
        <v>142</v>
      </c>
      <c r="B68" s="85"/>
      <c r="C68" s="86"/>
      <c r="D68" s="87">
        <v>2755200</v>
      </c>
      <c r="E68" s="88"/>
      <c r="F68" s="87">
        <f t="shared" si="3"/>
        <v>2755200</v>
      </c>
      <c r="G68" s="89"/>
      <c r="H68" s="42"/>
      <c r="I68" s="90"/>
      <c r="J68" s="91"/>
      <c r="K68" s="92"/>
    </row>
    <row r="69" spans="1:11" ht="16.5" customHeight="1" x14ac:dyDescent="0.25">
      <c r="A69" s="51" t="s">
        <v>31</v>
      </c>
      <c r="B69" s="52"/>
      <c r="C69" s="53"/>
      <c r="D69" s="54">
        <f>D70</f>
        <v>5096</v>
      </c>
      <c r="E69" s="55"/>
      <c r="F69" s="54">
        <f t="shared" si="3"/>
        <v>5096</v>
      </c>
      <c r="G69" s="55"/>
      <c r="H69" s="39">
        <f>SUM(H70:H70)</f>
        <v>0</v>
      </c>
      <c r="I69" s="50"/>
      <c r="J69" s="50"/>
      <c r="K69" s="50"/>
    </row>
    <row r="70" spans="1:11" s="3" customFormat="1" ht="18" customHeight="1" x14ac:dyDescent="0.25">
      <c r="A70" s="84" t="s">
        <v>115</v>
      </c>
      <c r="B70" s="85"/>
      <c r="C70" s="86"/>
      <c r="D70" s="95">
        <v>5096</v>
      </c>
      <c r="E70" s="112"/>
      <c r="F70" s="95">
        <f t="shared" si="3"/>
        <v>5096</v>
      </c>
      <c r="G70" s="96"/>
      <c r="H70" s="42"/>
      <c r="I70" s="90"/>
      <c r="J70" s="91"/>
      <c r="K70" s="92"/>
    </row>
    <row r="71" spans="1:11" ht="16.5" customHeight="1" x14ac:dyDescent="0.25">
      <c r="A71" s="51" t="s">
        <v>63</v>
      </c>
      <c r="B71" s="52"/>
      <c r="C71" s="53"/>
      <c r="D71" s="54">
        <f>D72</f>
        <v>10300</v>
      </c>
      <c r="E71" s="55"/>
      <c r="F71" s="54">
        <f t="shared" si="3"/>
        <v>10300</v>
      </c>
      <c r="G71" s="55"/>
      <c r="H71" s="39">
        <f>SUM(H72:H72)</f>
        <v>0</v>
      </c>
      <c r="I71" s="50"/>
      <c r="J71" s="50"/>
      <c r="K71" s="50"/>
    </row>
    <row r="72" spans="1:11" s="3" customFormat="1" ht="18.75" customHeight="1" x14ac:dyDescent="0.25">
      <c r="A72" s="84" t="s">
        <v>121</v>
      </c>
      <c r="B72" s="85"/>
      <c r="C72" s="86"/>
      <c r="D72" s="95">
        <v>10300</v>
      </c>
      <c r="E72" s="112"/>
      <c r="F72" s="95">
        <f t="shared" si="3"/>
        <v>10300</v>
      </c>
      <c r="G72" s="96"/>
      <c r="H72" s="42"/>
      <c r="I72" s="90"/>
      <c r="J72" s="91"/>
      <c r="K72" s="92"/>
    </row>
    <row r="73" spans="1:11" ht="45.75" customHeight="1" x14ac:dyDescent="0.25">
      <c r="A73" s="172" t="s">
        <v>34</v>
      </c>
      <c r="B73" s="179"/>
      <c r="C73" s="180"/>
      <c r="D73" s="100">
        <v>0</v>
      </c>
      <c r="E73" s="181"/>
      <c r="F73" s="100">
        <f t="shared" si="3"/>
        <v>0</v>
      </c>
      <c r="G73" s="101"/>
      <c r="H73" s="45"/>
      <c r="I73" s="90"/>
      <c r="J73" s="91"/>
      <c r="K73" s="92"/>
    </row>
    <row r="74" spans="1:11" ht="32.25" customHeight="1" x14ac:dyDescent="0.25">
      <c r="A74" s="172" t="s">
        <v>39</v>
      </c>
      <c r="B74" s="173"/>
      <c r="C74" s="174"/>
      <c r="D74" s="100">
        <f>SUM(D75:E77)</f>
        <v>381120</v>
      </c>
      <c r="E74" s="175"/>
      <c r="F74" s="100">
        <f t="shared" si="3"/>
        <v>381120</v>
      </c>
      <c r="G74" s="101"/>
      <c r="H74" s="45">
        <f>H75+H76+H77</f>
        <v>0</v>
      </c>
      <c r="I74" s="102"/>
      <c r="J74" s="103"/>
      <c r="K74" s="104"/>
    </row>
    <row r="75" spans="1:11" s="3" customFormat="1" ht="25.5" customHeight="1" x14ac:dyDescent="0.25">
      <c r="A75" s="84" t="s">
        <v>83</v>
      </c>
      <c r="B75" s="85"/>
      <c r="C75" s="86"/>
      <c r="D75" s="95">
        <f>4*780</f>
        <v>3120</v>
      </c>
      <c r="E75" s="112"/>
      <c r="F75" s="95">
        <f t="shared" si="3"/>
        <v>3120</v>
      </c>
      <c r="G75" s="113"/>
      <c r="H75" s="42"/>
      <c r="I75" s="97"/>
      <c r="J75" s="98"/>
      <c r="K75" s="99"/>
    </row>
    <row r="76" spans="1:11" s="3" customFormat="1" ht="16.5" customHeight="1" x14ac:dyDescent="0.25">
      <c r="A76" s="84" t="s">
        <v>82</v>
      </c>
      <c r="B76" s="85"/>
      <c r="C76" s="86"/>
      <c r="D76" s="95">
        <f>140*50</f>
        <v>7000</v>
      </c>
      <c r="E76" s="112"/>
      <c r="F76" s="95">
        <f t="shared" si="3"/>
        <v>7000</v>
      </c>
      <c r="G76" s="113"/>
      <c r="H76" s="42"/>
      <c r="I76" s="90"/>
      <c r="J76" s="91"/>
      <c r="K76" s="92"/>
    </row>
    <row r="77" spans="1:11" s="3" customFormat="1" ht="47.25" customHeight="1" x14ac:dyDescent="0.25">
      <c r="A77" s="84" t="s">
        <v>157</v>
      </c>
      <c r="B77" s="85"/>
      <c r="C77" s="86"/>
      <c r="D77" s="95">
        <v>371000</v>
      </c>
      <c r="E77" s="112"/>
      <c r="F77" s="95">
        <f t="shared" si="3"/>
        <v>371000</v>
      </c>
      <c r="G77" s="113"/>
      <c r="H77" s="42"/>
      <c r="I77" s="90"/>
      <c r="J77" s="91"/>
      <c r="K77" s="92"/>
    </row>
    <row r="78" spans="1:11" ht="27" customHeight="1" x14ac:dyDescent="0.25">
      <c r="A78" s="172" t="s">
        <v>38</v>
      </c>
      <c r="B78" s="179"/>
      <c r="C78" s="180"/>
      <c r="D78" s="54">
        <f>SUM(D79:E81)</f>
        <v>13800</v>
      </c>
      <c r="E78" s="55"/>
      <c r="F78" s="54">
        <f>SUM(F79:G81)</f>
        <v>13800</v>
      </c>
      <c r="G78" s="55"/>
      <c r="H78" s="45">
        <f>H81</f>
        <v>0</v>
      </c>
      <c r="I78" s="90"/>
      <c r="J78" s="91"/>
      <c r="K78" s="92"/>
    </row>
    <row r="79" spans="1:11" s="3" customFormat="1" ht="16.5" customHeight="1" x14ac:dyDescent="0.25">
      <c r="A79" s="84" t="s">
        <v>84</v>
      </c>
      <c r="B79" s="85"/>
      <c r="C79" s="86"/>
      <c r="D79" s="95">
        <f>4*2150</f>
        <v>8600</v>
      </c>
      <c r="E79" s="112"/>
      <c r="F79" s="95">
        <f>D79+H79</f>
        <v>8600</v>
      </c>
      <c r="G79" s="113"/>
      <c r="H79" s="42"/>
      <c r="I79" s="90"/>
      <c r="J79" s="91"/>
      <c r="K79" s="92"/>
    </row>
    <row r="80" spans="1:11" s="3" customFormat="1" ht="16.5" customHeight="1" x14ac:dyDescent="0.25">
      <c r="A80" s="84" t="s">
        <v>85</v>
      </c>
      <c r="B80" s="85"/>
      <c r="C80" s="86"/>
      <c r="D80" s="95">
        <f>30*120</f>
        <v>3600</v>
      </c>
      <c r="E80" s="112"/>
      <c r="F80" s="95">
        <f>D80+H80</f>
        <v>3600</v>
      </c>
      <c r="G80" s="113"/>
      <c r="H80" s="42"/>
      <c r="I80" s="90"/>
      <c r="J80" s="91"/>
      <c r="K80" s="92"/>
    </row>
    <row r="81" spans="1:11" s="3" customFormat="1" ht="16.5" customHeight="1" x14ac:dyDescent="0.25">
      <c r="A81" s="84" t="s">
        <v>153</v>
      </c>
      <c r="B81" s="85"/>
      <c r="C81" s="86"/>
      <c r="D81" s="95">
        <v>1600</v>
      </c>
      <c r="E81" s="112"/>
      <c r="F81" s="95">
        <f>D81+H81</f>
        <v>1600</v>
      </c>
      <c r="G81" s="113"/>
      <c r="H81" s="42"/>
      <c r="I81" s="90"/>
      <c r="J81" s="91"/>
      <c r="K81" s="92"/>
    </row>
    <row r="82" spans="1:11" ht="30.75" customHeight="1" x14ac:dyDescent="0.25">
      <c r="A82" s="172" t="s">
        <v>35</v>
      </c>
      <c r="B82" s="179"/>
      <c r="C82" s="180"/>
      <c r="D82" s="54">
        <f>SUM(D83:E84)</f>
        <v>33826.14</v>
      </c>
      <c r="E82" s="55"/>
      <c r="F82" s="54">
        <f>D82+H82</f>
        <v>33826.14</v>
      </c>
      <c r="G82" s="55"/>
      <c r="H82" s="45">
        <f>H83+H84</f>
        <v>0</v>
      </c>
      <c r="I82" s="90"/>
      <c r="J82" s="91"/>
      <c r="K82" s="92"/>
    </row>
    <row r="83" spans="1:11" s="3" customFormat="1" ht="95.25" customHeight="1" x14ac:dyDescent="0.25">
      <c r="A83" s="84" t="s">
        <v>86</v>
      </c>
      <c r="B83" s="85"/>
      <c r="C83" s="86"/>
      <c r="D83" s="95">
        <v>29276.14</v>
      </c>
      <c r="E83" s="112"/>
      <c r="F83" s="95">
        <f>D83+H83</f>
        <v>29276.14</v>
      </c>
      <c r="G83" s="113"/>
      <c r="H83" s="47"/>
      <c r="I83" s="90"/>
      <c r="J83" s="91"/>
      <c r="K83" s="92"/>
    </row>
    <row r="84" spans="1:11" s="3" customFormat="1" ht="104.25" customHeight="1" x14ac:dyDescent="0.25">
      <c r="A84" s="84" t="s">
        <v>92</v>
      </c>
      <c r="B84" s="85"/>
      <c r="C84" s="86"/>
      <c r="D84" s="95">
        <v>4550</v>
      </c>
      <c r="E84" s="112"/>
      <c r="F84" s="95">
        <f t="shared" ref="F84:F91" si="4">D84+H84</f>
        <v>4550</v>
      </c>
      <c r="G84" s="113"/>
      <c r="H84" s="47"/>
      <c r="I84" s="90"/>
      <c r="J84" s="91"/>
      <c r="K84" s="92"/>
    </row>
    <row r="85" spans="1:11" s="30" customFormat="1" ht="33" customHeight="1" x14ac:dyDescent="0.25">
      <c r="A85" s="105" t="s">
        <v>40</v>
      </c>
      <c r="B85" s="106"/>
      <c r="C85" s="107"/>
      <c r="D85" s="108">
        <f>D86+D87+D88+D89+D90+D91</f>
        <v>41480.660000000003</v>
      </c>
      <c r="E85" s="109"/>
      <c r="F85" s="108">
        <f>D85+H85</f>
        <v>41480.660000000003</v>
      </c>
      <c r="G85" s="109"/>
      <c r="H85" s="42">
        <f>SUM(H86:H91)</f>
        <v>0</v>
      </c>
      <c r="I85" s="61"/>
      <c r="J85" s="110"/>
      <c r="K85" s="111"/>
    </row>
    <row r="86" spans="1:11" s="30" customFormat="1" ht="16.5" customHeight="1" x14ac:dyDescent="0.25">
      <c r="A86" s="67" t="s">
        <v>116</v>
      </c>
      <c r="B86" s="68"/>
      <c r="C86" s="69"/>
      <c r="D86" s="59">
        <v>8400</v>
      </c>
      <c r="E86" s="60"/>
      <c r="F86" s="59">
        <f t="shared" si="4"/>
        <v>8400</v>
      </c>
      <c r="G86" s="60"/>
      <c r="H86" s="42"/>
      <c r="I86" s="233"/>
      <c r="J86" s="234"/>
      <c r="K86" s="235"/>
    </row>
    <row r="87" spans="1:11" s="30" customFormat="1" ht="16.5" customHeight="1" x14ac:dyDescent="0.25">
      <c r="A87" s="67" t="s">
        <v>117</v>
      </c>
      <c r="B87" s="93"/>
      <c r="C87" s="94"/>
      <c r="D87" s="59">
        <v>10080</v>
      </c>
      <c r="E87" s="60"/>
      <c r="F87" s="59">
        <f t="shared" si="4"/>
        <v>10080</v>
      </c>
      <c r="G87" s="60"/>
      <c r="H87" s="42"/>
      <c r="I87" s="236"/>
      <c r="J87" s="237"/>
      <c r="K87" s="238"/>
    </row>
    <row r="88" spans="1:11" s="30" customFormat="1" ht="16.5" customHeight="1" x14ac:dyDescent="0.25">
      <c r="A88" s="67" t="s">
        <v>118</v>
      </c>
      <c r="B88" s="68"/>
      <c r="C88" s="69"/>
      <c r="D88" s="59">
        <v>13440</v>
      </c>
      <c r="E88" s="60"/>
      <c r="F88" s="59">
        <f t="shared" si="4"/>
        <v>13440</v>
      </c>
      <c r="G88" s="60"/>
      <c r="H88" s="42"/>
      <c r="I88" s="236"/>
      <c r="J88" s="237"/>
      <c r="K88" s="238"/>
    </row>
    <row r="89" spans="1:11" s="30" customFormat="1" ht="16.5" customHeight="1" x14ac:dyDescent="0.25">
      <c r="A89" s="67" t="s">
        <v>119</v>
      </c>
      <c r="B89" s="68"/>
      <c r="C89" s="69"/>
      <c r="D89" s="59">
        <v>6720</v>
      </c>
      <c r="E89" s="60"/>
      <c r="F89" s="59">
        <f t="shared" si="4"/>
        <v>6720</v>
      </c>
      <c r="G89" s="60"/>
      <c r="H89" s="42"/>
      <c r="I89" s="236"/>
      <c r="J89" s="237"/>
      <c r="K89" s="238"/>
    </row>
    <row r="90" spans="1:11" s="30" customFormat="1" ht="16.5" customHeight="1" x14ac:dyDescent="0.25">
      <c r="A90" s="67" t="s">
        <v>91</v>
      </c>
      <c r="B90" s="68"/>
      <c r="C90" s="69"/>
      <c r="D90" s="59">
        <v>800.66</v>
      </c>
      <c r="E90" s="60"/>
      <c r="F90" s="59">
        <f t="shared" si="4"/>
        <v>800.66</v>
      </c>
      <c r="G90" s="60"/>
      <c r="H90" s="42"/>
      <c r="I90" s="215"/>
      <c r="J90" s="216"/>
      <c r="K90" s="217"/>
    </row>
    <row r="91" spans="1:11" s="30" customFormat="1" ht="49.5" customHeight="1" x14ac:dyDescent="0.25">
      <c r="A91" s="67" t="s">
        <v>120</v>
      </c>
      <c r="B91" s="68"/>
      <c r="C91" s="69"/>
      <c r="D91" s="59">
        <v>2040</v>
      </c>
      <c r="E91" s="60"/>
      <c r="F91" s="59">
        <f t="shared" si="4"/>
        <v>2040</v>
      </c>
      <c r="G91" s="60"/>
      <c r="H91" s="42"/>
      <c r="I91" s="90"/>
      <c r="J91" s="91"/>
      <c r="K91" s="92"/>
    </row>
    <row r="92" spans="1:11" s="3" customFormat="1" x14ac:dyDescent="0.25">
      <c r="A92" s="64" t="s">
        <v>11</v>
      </c>
      <c r="B92" s="64"/>
      <c r="C92" s="64"/>
      <c r="D92" s="65">
        <f>D31+D32+D33+D38+D42+D54+D69+D71+D73+D74+D78+D82+D85</f>
        <v>10266198</v>
      </c>
      <c r="E92" s="66"/>
      <c r="F92" s="65">
        <f>F31+F32+F33+F38+F42+F54+F69+F71+F73+F74+F78+F82+F85</f>
        <v>10266198</v>
      </c>
      <c r="G92" s="66"/>
      <c r="H92" s="38">
        <f>H31+H32+H33+H38+H42+H54+H69+H71+H73+H74+H78+H82+H85</f>
        <v>0</v>
      </c>
      <c r="I92" s="50"/>
      <c r="J92" s="50"/>
      <c r="K92" s="50"/>
    </row>
    <row r="93" spans="1:11" s="3" customFormat="1" x14ac:dyDescent="0.25">
      <c r="A93" s="8"/>
      <c r="B93" s="8"/>
      <c r="C93" s="8"/>
      <c r="D93" s="9"/>
      <c r="E93" s="9"/>
      <c r="F93" s="9"/>
      <c r="G93" s="9"/>
      <c r="H93" s="9"/>
    </row>
    <row r="94" spans="1:11" ht="16.5" customHeight="1" x14ac:dyDescent="0.25">
      <c r="A94" s="76" t="s">
        <v>49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</row>
    <row r="96" spans="1:11" x14ac:dyDescent="0.25">
      <c r="A96" s="50"/>
      <c r="B96" s="50"/>
      <c r="C96" s="50"/>
      <c r="D96" s="71" t="s">
        <v>5</v>
      </c>
      <c r="E96" s="71"/>
      <c r="F96" s="71" t="s">
        <v>6</v>
      </c>
      <c r="G96" s="71"/>
      <c r="H96" s="24" t="s">
        <v>14</v>
      </c>
      <c r="I96" s="72" t="s">
        <v>13</v>
      </c>
      <c r="J96" s="73"/>
      <c r="K96" s="74"/>
    </row>
    <row r="97" spans="1:11" ht="27" customHeight="1" x14ac:dyDescent="0.25">
      <c r="A97" s="121" t="s">
        <v>15</v>
      </c>
      <c r="B97" s="121"/>
      <c r="C97" s="121"/>
      <c r="D97" s="54">
        <v>366885.77</v>
      </c>
      <c r="E97" s="55"/>
      <c r="F97" s="54">
        <f t="shared" ref="F97:F102" si="5">D97+H97</f>
        <v>396215.05000000005</v>
      </c>
      <c r="G97" s="55"/>
      <c r="H97" s="45">
        <v>29329.279999999999</v>
      </c>
      <c r="I97" s="206" t="s">
        <v>206</v>
      </c>
      <c r="J97" s="207"/>
      <c r="K97" s="208"/>
    </row>
    <row r="98" spans="1:11" ht="27" customHeight="1" x14ac:dyDescent="0.25">
      <c r="A98" s="51" t="s">
        <v>16</v>
      </c>
      <c r="B98" s="52"/>
      <c r="C98" s="53"/>
      <c r="D98" s="54">
        <v>110799.5</v>
      </c>
      <c r="E98" s="55"/>
      <c r="F98" s="54">
        <f t="shared" si="5"/>
        <v>119656.95</v>
      </c>
      <c r="G98" s="55"/>
      <c r="H98" s="45">
        <v>8857.4500000000007</v>
      </c>
      <c r="I98" s="215"/>
      <c r="J98" s="216"/>
      <c r="K98" s="217"/>
    </row>
    <row r="99" spans="1:11" ht="18" customHeight="1" x14ac:dyDescent="0.25">
      <c r="A99" s="51" t="s">
        <v>25</v>
      </c>
      <c r="B99" s="52"/>
      <c r="C99" s="53"/>
      <c r="D99" s="54">
        <f>SUM(D100:E101)</f>
        <v>31253.48</v>
      </c>
      <c r="E99" s="187"/>
      <c r="F99" s="54">
        <f t="shared" si="5"/>
        <v>32124.22</v>
      </c>
      <c r="G99" s="187"/>
      <c r="H99" s="39">
        <f>H100+H101</f>
        <v>870.7399999999999</v>
      </c>
      <c r="I99" s="97"/>
      <c r="J99" s="98"/>
      <c r="K99" s="99"/>
    </row>
    <row r="100" spans="1:11" ht="36.75" customHeight="1" x14ac:dyDescent="0.25">
      <c r="A100" s="84" t="s">
        <v>46</v>
      </c>
      <c r="B100" s="85"/>
      <c r="C100" s="86"/>
      <c r="D100" s="95">
        <v>29372.880000000001</v>
      </c>
      <c r="E100" s="112"/>
      <c r="F100" s="95">
        <f t="shared" si="5"/>
        <v>30816.959999999999</v>
      </c>
      <c r="G100" s="112"/>
      <c r="H100" s="42">
        <v>1444.08</v>
      </c>
      <c r="I100" s="90" t="s">
        <v>207</v>
      </c>
      <c r="J100" s="91"/>
      <c r="K100" s="92"/>
    </row>
    <row r="101" spans="1:11" ht="36.75" customHeight="1" x14ac:dyDescent="0.25">
      <c r="A101" s="84" t="s">
        <v>24</v>
      </c>
      <c r="B101" s="85"/>
      <c r="C101" s="86"/>
      <c r="D101" s="95">
        <f>1880.34+0.26</f>
        <v>1880.6</v>
      </c>
      <c r="E101" s="112"/>
      <c r="F101" s="95">
        <f t="shared" si="5"/>
        <v>1307.2599999999998</v>
      </c>
      <c r="G101" s="112"/>
      <c r="H101" s="42">
        <v>-573.34</v>
      </c>
      <c r="I101" s="90" t="s">
        <v>208</v>
      </c>
      <c r="J101" s="91"/>
      <c r="K101" s="92"/>
    </row>
    <row r="102" spans="1:11" ht="19.5" customHeight="1" x14ac:dyDescent="0.25">
      <c r="A102" s="51" t="s">
        <v>26</v>
      </c>
      <c r="B102" s="52"/>
      <c r="C102" s="53"/>
      <c r="D102" s="54">
        <v>35000</v>
      </c>
      <c r="E102" s="55"/>
      <c r="F102" s="54">
        <f t="shared" si="5"/>
        <v>15000</v>
      </c>
      <c r="G102" s="55"/>
      <c r="H102" s="45">
        <v>-20000</v>
      </c>
      <c r="I102" s="90"/>
      <c r="J102" s="91"/>
      <c r="K102" s="92"/>
    </row>
    <row r="103" spans="1:11" s="3" customFormat="1" ht="16.5" customHeight="1" x14ac:dyDescent="0.25">
      <c r="A103" s="51" t="s">
        <v>17</v>
      </c>
      <c r="B103" s="52"/>
      <c r="C103" s="53"/>
      <c r="D103" s="149">
        <v>79275</v>
      </c>
      <c r="E103" s="150"/>
      <c r="F103" s="149">
        <f>H103+D103</f>
        <v>44243</v>
      </c>
      <c r="G103" s="150"/>
      <c r="H103" s="39">
        <v>-35032</v>
      </c>
      <c r="I103" s="151"/>
      <c r="J103" s="151"/>
      <c r="K103" s="151"/>
    </row>
    <row r="104" spans="1:11" s="3" customFormat="1" ht="41.25" customHeight="1" x14ac:dyDescent="0.25">
      <c r="A104" s="67" t="s">
        <v>126</v>
      </c>
      <c r="B104" s="68"/>
      <c r="C104" s="69"/>
      <c r="D104" s="95">
        <v>79275</v>
      </c>
      <c r="E104" s="112"/>
      <c r="F104" s="95">
        <f>H104+D104</f>
        <v>44243</v>
      </c>
      <c r="G104" s="113"/>
      <c r="H104" s="42">
        <v>-35032</v>
      </c>
      <c r="I104" s="90" t="s">
        <v>208</v>
      </c>
      <c r="J104" s="91"/>
      <c r="K104" s="92"/>
    </row>
    <row r="105" spans="1:11" ht="18.75" customHeight="1" x14ac:dyDescent="0.25">
      <c r="A105" s="51" t="s">
        <v>19</v>
      </c>
      <c r="B105" s="52"/>
      <c r="C105" s="53"/>
      <c r="D105" s="54">
        <v>0</v>
      </c>
      <c r="E105" s="55"/>
      <c r="F105" s="54">
        <f>F106</f>
        <v>35032</v>
      </c>
      <c r="G105" s="55"/>
      <c r="H105" s="13">
        <f>H106</f>
        <v>35032</v>
      </c>
      <c r="I105" s="56"/>
      <c r="J105" s="57"/>
      <c r="K105" s="58"/>
    </row>
    <row r="106" spans="1:11" ht="36" customHeight="1" x14ac:dyDescent="0.25">
      <c r="A106" s="84" t="s">
        <v>196</v>
      </c>
      <c r="B106" s="152"/>
      <c r="C106" s="153"/>
      <c r="D106" s="95"/>
      <c r="E106" s="113"/>
      <c r="F106" s="95">
        <f t="shared" ref="F106" si="6">D106+H106</f>
        <v>35032</v>
      </c>
      <c r="G106" s="113"/>
      <c r="H106" s="15">
        <v>35032</v>
      </c>
      <c r="I106" s="90" t="s">
        <v>187</v>
      </c>
      <c r="J106" s="91"/>
      <c r="K106" s="92"/>
    </row>
    <row r="107" spans="1:11" ht="16.5" customHeight="1" x14ac:dyDescent="0.25">
      <c r="A107" s="51" t="s">
        <v>20</v>
      </c>
      <c r="B107" s="52"/>
      <c r="C107" s="53"/>
      <c r="D107" s="54">
        <f>SUM(D108:E115)</f>
        <v>241700</v>
      </c>
      <c r="E107" s="55"/>
      <c r="F107" s="54">
        <f>D107+H107</f>
        <v>146192</v>
      </c>
      <c r="G107" s="55"/>
      <c r="H107" s="39">
        <f>SUM(H108:H115)</f>
        <v>-95508</v>
      </c>
      <c r="I107" s="50"/>
      <c r="J107" s="50"/>
      <c r="K107" s="50"/>
    </row>
    <row r="108" spans="1:11" s="3" customFormat="1" ht="39.75" customHeight="1" x14ac:dyDescent="0.25">
      <c r="A108" s="84" t="s">
        <v>93</v>
      </c>
      <c r="B108" s="85"/>
      <c r="C108" s="86"/>
      <c r="D108" s="95">
        <v>151200</v>
      </c>
      <c r="E108" s="112"/>
      <c r="F108" s="95">
        <f t="shared" ref="F108:F123" si="7">D108+H108</f>
        <v>60900</v>
      </c>
      <c r="G108" s="96"/>
      <c r="H108" s="47">
        <v>-90300</v>
      </c>
      <c r="I108" s="90" t="s">
        <v>185</v>
      </c>
      <c r="J108" s="91"/>
      <c r="K108" s="92"/>
    </row>
    <row r="109" spans="1:11" s="3" customFormat="1" ht="19.5" customHeight="1" x14ac:dyDescent="0.25">
      <c r="A109" s="84" t="s">
        <v>104</v>
      </c>
      <c r="B109" s="85"/>
      <c r="C109" s="86"/>
      <c r="D109" s="95">
        <v>24000</v>
      </c>
      <c r="E109" s="112"/>
      <c r="F109" s="95">
        <f t="shared" si="7"/>
        <v>24000</v>
      </c>
      <c r="G109" s="96"/>
      <c r="H109" s="42"/>
      <c r="I109" s="90"/>
      <c r="J109" s="91"/>
      <c r="K109" s="92"/>
    </row>
    <row r="110" spans="1:11" s="3" customFormat="1" ht="21" customHeight="1" x14ac:dyDescent="0.25">
      <c r="A110" s="84" t="s">
        <v>169</v>
      </c>
      <c r="B110" s="85"/>
      <c r="C110" s="86"/>
      <c r="D110" s="95">
        <v>12600</v>
      </c>
      <c r="E110" s="112"/>
      <c r="F110" s="95">
        <f t="shared" si="7"/>
        <v>12600</v>
      </c>
      <c r="G110" s="96"/>
      <c r="H110" s="42"/>
      <c r="I110" s="90"/>
      <c r="J110" s="91"/>
      <c r="K110" s="92"/>
    </row>
    <row r="111" spans="1:11" s="3" customFormat="1" ht="23.25" customHeight="1" x14ac:dyDescent="0.25">
      <c r="A111" s="84" t="s">
        <v>170</v>
      </c>
      <c r="B111" s="85"/>
      <c r="C111" s="86"/>
      <c r="D111" s="95">
        <v>6000</v>
      </c>
      <c r="E111" s="112"/>
      <c r="F111" s="95">
        <f t="shared" si="7"/>
        <v>6000</v>
      </c>
      <c r="G111" s="96"/>
      <c r="H111" s="42"/>
      <c r="I111" s="90"/>
      <c r="J111" s="91"/>
      <c r="K111" s="92"/>
    </row>
    <row r="112" spans="1:11" s="3" customFormat="1" ht="20.25" customHeight="1" x14ac:dyDescent="0.25">
      <c r="A112" s="84" t="s">
        <v>171</v>
      </c>
      <c r="B112" s="85"/>
      <c r="C112" s="86"/>
      <c r="D112" s="95">
        <v>1500</v>
      </c>
      <c r="E112" s="112"/>
      <c r="F112" s="95">
        <f t="shared" si="7"/>
        <v>1500</v>
      </c>
      <c r="G112" s="96"/>
      <c r="H112" s="42"/>
      <c r="I112" s="90"/>
      <c r="J112" s="91"/>
      <c r="K112" s="92"/>
    </row>
    <row r="113" spans="1:11" s="3" customFormat="1" ht="36" customHeight="1" x14ac:dyDescent="0.25">
      <c r="A113" s="84" t="s">
        <v>172</v>
      </c>
      <c r="B113" s="85"/>
      <c r="C113" s="86"/>
      <c r="D113" s="95">
        <v>16800</v>
      </c>
      <c r="E113" s="112"/>
      <c r="F113" s="95">
        <f t="shared" si="7"/>
        <v>11800</v>
      </c>
      <c r="G113" s="96"/>
      <c r="H113" s="42">
        <v>-5000</v>
      </c>
      <c r="I113" s="90" t="s">
        <v>132</v>
      </c>
      <c r="J113" s="91"/>
      <c r="K113" s="92"/>
    </row>
    <row r="114" spans="1:11" s="3" customFormat="1" ht="49.5" customHeight="1" x14ac:dyDescent="0.25">
      <c r="A114" s="84" t="s">
        <v>173</v>
      </c>
      <c r="B114" s="85"/>
      <c r="C114" s="86"/>
      <c r="D114" s="95">
        <v>22000</v>
      </c>
      <c r="E114" s="112"/>
      <c r="F114" s="95">
        <f t="shared" si="7"/>
        <v>21792</v>
      </c>
      <c r="G114" s="96"/>
      <c r="H114" s="42">
        <v>-208</v>
      </c>
      <c r="I114" s="90" t="s">
        <v>132</v>
      </c>
      <c r="J114" s="91"/>
      <c r="K114" s="92"/>
    </row>
    <row r="115" spans="1:11" s="3" customFormat="1" ht="27" customHeight="1" x14ac:dyDescent="0.25">
      <c r="A115" s="84" t="s">
        <v>174</v>
      </c>
      <c r="B115" s="85"/>
      <c r="C115" s="86"/>
      <c r="D115" s="95">
        <v>7600</v>
      </c>
      <c r="E115" s="112"/>
      <c r="F115" s="95">
        <f t="shared" si="7"/>
        <v>7600</v>
      </c>
      <c r="G115" s="96"/>
      <c r="H115" s="42"/>
      <c r="I115" s="90"/>
      <c r="J115" s="91"/>
      <c r="K115" s="92"/>
    </row>
    <row r="116" spans="1:11" ht="16.5" customHeight="1" x14ac:dyDescent="0.25">
      <c r="A116" s="51" t="s">
        <v>31</v>
      </c>
      <c r="B116" s="52"/>
      <c r="C116" s="53"/>
      <c r="D116" s="54">
        <f>D117</f>
        <v>0</v>
      </c>
      <c r="E116" s="55"/>
      <c r="F116" s="54">
        <f t="shared" si="7"/>
        <v>1152.43</v>
      </c>
      <c r="G116" s="55"/>
      <c r="H116" s="39">
        <f>SUM(H117:H117)</f>
        <v>1152.43</v>
      </c>
      <c r="I116" s="50"/>
      <c r="J116" s="50"/>
      <c r="K116" s="50"/>
    </row>
    <row r="117" spans="1:11" s="3" customFormat="1" ht="48" customHeight="1" x14ac:dyDescent="0.25">
      <c r="A117" s="84" t="s">
        <v>115</v>
      </c>
      <c r="B117" s="85"/>
      <c r="C117" s="86"/>
      <c r="D117" s="95">
        <v>0</v>
      </c>
      <c r="E117" s="112"/>
      <c r="F117" s="95">
        <f t="shared" si="7"/>
        <v>1152.43</v>
      </c>
      <c r="G117" s="96"/>
      <c r="H117" s="42">
        <v>1152.43</v>
      </c>
      <c r="I117" s="122" t="s">
        <v>225</v>
      </c>
      <c r="J117" s="123"/>
      <c r="K117" s="124"/>
    </row>
    <row r="118" spans="1:11" ht="16.5" customHeight="1" x14ac:dyDescent="0.25">
      <c r="A118" s="51" t="s">
        <v>63</v>
      </c>
      <c r="B118" s="52"/>
      <c r="C118" s="53"/>
      <c r="D118" s="54">
        <f>D119</f>
        <v>12005</v>
      </c>
      <c r="E118" s="55"/>
      <c r="F118" s="54">
        <f>SUM(F119:G121)</f>
        <v>29624</v>
      </c>
      <c r="G118" s="55"/>
      <c r="H118" s="39">
        <f>SUM(H119:H121)</f>
        <v>17619</v>
      </c>
      <c r="I118" s="50"/>
      <c r="J118" s="50"/>
      <c r="K118" s="50"/>
    </row>
    <row r="119" spans="1:11" s="3" customFormat="1" ht="20.25" customHeight="1" x14ac:dyDescent="0.25">
      <c r="A119" s="84" t="s">
        <v>175</v>
      </c>
      <c r="B119" s="85"/>
      <c r="C119" s="86"/>
      <c r="D119" s="95">
        <v>12005</v>
      </c>
      <c r="E119" s="112"/>
      <c r="F119" s="95">
        <f t="shared" si="7"/>
        <v>12005</v>
      </c>
      <c r="G119" s="96"/>
      <c r="H119" s="42"/>
      <c r="I119" s="90"/>
      <c r="J119" s="91"/>
      <c r="K119" s="92"/>
    </row>
    <row r="120" spans="1:11" s="3" customFormat="1" ht="18" customHeight="1" x14ac:dyDescent="0.25">
      <c r="A120" s="84" t="s">
        <v>197</v>
      </c>
      <c r="B120" s="85"/>
      <c r="C120" s="86"/>
      <c r="D120" s="95"/>
      <c r="E120" s="112"/>
      <c r="F120" s="95">
        <f t="shared" ref="F120:F121" si="8">D120+H120</f>
        <v>7304</v>
      </c>
      <c r="G120" s="96"/>
      <c r="H120" s="42">
        <v>7304</v>
      </c>
      <c r="I120" s="251" t="s">
        <v>187</v>
      </c>
      <c r="J120" s="252"/>
      <c r="K120" s="253"/>
    </row>
    <row r="121" spans="1:11" s="3" customFormat="1" ht="18" customHeight="1" x14ac:dyDescent="0.25">
      <c r="A121" s="84" t="s">
        <v>198</v>
      </c>
      <c r="B121" s="85"/>
      <c r="C121" s="86"/>
      <c r="D121" s="95"/>
      <c r="E121" s="112"/>
      <c r="F121" s="95">
        <f t="shared" si="8"/>
        <v>10315</v>
      </c>
      <c r="G121" s="96"/>
      <c r="H121" s="42">
        <v>10315</v>
      </c>
      <c r="I121" s="215"/>
      <c r="J121" s="216"/>
      <c r="K121" s="217"/>
    </row>
    <row r="122" spans="1:11" ht="32.25" customHeight="1" x14ac:dyDescent="0.25">
      <c r="A122" s="172" t="s">
        <v>39</v>
      </c>
      <c r="B122" s="173"/>
      <c r="C122" s="174"/>
      <c r="D122" s="100">
        <f>D123</f>
        <v>67500</v>
      </c>
      <c r="E122" s="175"/>
      <c r="F122" s="100">
        <f t="shared" si="7"/>
        <v>23100</v>
      </c>
      <c r="G122" s="101"/>
      <c r="H122" s="45">
        <f>H123</f>
        <v>-44400</v>
      </c>
      <c r="I122" s="102"/>
      <c r="J122" s="103"/>
      <c r="K122" s="104"/>
    </row>
    <row r="123" spans="1:11" s="3" customFormat="1" ht="52.5" customHeight="1" x14ac:dyDescent="0.25">
      <c r="A123" s="84" t="s">
        <v>94</v>
      </c>
      <c r="B123" s="85"/>
      <c r="C123" s="86"/>
      <c r="D123" s="95">
        <v>67500</v>
      </c>
      <c r="E123" s="112"/>
      <c r="F123" s="95">
        <f t="shared" si="7"/>
        <v>23100</v>
      </c>
      <c r="G123" s="113"/>
      <c r="H123" s="42">
        <v>-44400</v>
      </c>
      <c r="I123" s="262" t="s">
        <v>211</v>
      </c>
      <c r="J123" s="143"/>
      <c r="K123" s="144"/>
    </row>
    <row r="124" spans="1:11" ht="27" customHeight="1" x14ac:dyDescent="0.25">
      <c r="A124" s="172" t="s">
        <v>38</v>
      </c>
      <c r="B124" s="179"/>
      <c r="C124" s="180"/>
      <c r="D124" s="54">
        <f>SUM(D125:E128)</f>
        <v>34900</v>
      </c>
      <c r="E124" s="55"/>
      <c r="F124" s="54">
        <f>SUM(F125:G129)</f>
        <v>62725</v>
      </c>
      <c r="G124" s="55"/>
      <c r="H124" s="45">
        <f>H129</f>
        <v>27825</v>
      </c>
      <c r="I124" s="90"/>
      <c r="J124" s="91"/>
      <c r="K124" s="92"/>
    </row>
    <row r="125" spans="1:11" s="3" customFormat="1" ht="21" customHeight="1" x14ac:dyDescent="0.25">
      <c r="A125" s="84" t="s">
        <v>176</v>
      </c>
      <c r="B125" s="85"/>
      <c r="C125" s="86"/>
      <c r="D125" s="95">
        <v>10000</v>
      </c>
      <c r="E125" s="112"/>
      <c r="F125" s="95">
        <f>D125+H125</f>
        <v>10000</v>
      </c>
      <c r="G125" s="113"/>
      <c r="H125" s="42"/>
      <c r="I125" s="90"/>
      <c r="J125" s="91"/>
      <c r="K125" s="92"/>
    </row>
    <row r="126" spans="1:11" s="3" customFormat="1" ht="21" customHeight="1" x14ac:dyDescent="0.25">
      <c r="A126" s="84" t="s">
        <v>177</v>
      </c>
      <c r="B126" s="85"/>
      <c r="C126" s="86"/>
      <c r="D126" s="95">
        <v>6400</v>
      </c>
      <c r="E126" s="112"/>
      <c r="F126" s="95">
        <f>D126+H126</f>
        <v>6400</v>
      </c>
      <c r="G126" s="113"/>
      <c r="H126" s="42"/>
      <c r="I126" s="90"/>
      <c r="J126" s="91"/>
      <c r="K126" s="92"/>
    </row>
    <row r="127" spans="1:11" s="3" customFormat="1" ht="21" customHeight="1" x14ac:dyDescent="0.25">
      <c r="A127" s="84" t="s">
        <v>178</v>
      </c>
      <c r="B127" s="85"/>
      <c r="C127" s="86"/>
      <c r="D127" s="95">
        <v>900</v>
      </c>
      <c r="E127" s="112"/>
      <c r="F127" s="95">
        <f>D127+H127</f>
        <v>900</v>
      </c>
      <c r="G127" s="113"/>
      <c r="H127" s="42"/>
      <c r="I127" s="90"/>
      <c r="J127" s="91"/>
      <c r="K127" s="92"/>
    </row>
    <row r="128" spans="1:11" s="3" customFormat="1" ht="21" customHeight="1" x14ac:dyDescent="0.25">
      <c r="A128" s="84" t="s">
        <v>179</v>
      </c>
      <c r="B128" s="85"/>
      <c r="C128" s="86"/>
      <c r="D128" s="95">
        <v>17600</v>
      </c>
      <c r="E128" s="112"/>
      <c r="F128" s="95">
        <f>D128+H128</f>
        <v>17600</v>
      </c>
      <c r="G128" s="113"/>
      <c r="H128" s="42"/>
      <c r="I128" s="90"/>
      <c r="J128" s="91"/>
      <c r="K128" s="92"/>
    </row>
    <row r="129" spans="1:11" s="3" customFormat="1" ht="73.5" customHeight="1" x14ac:dyDescent="0.25">
      <c r="A129" s="84" t="s">
        <v>199</v>
      </c>
      <c r="B129" s="85"/>
      <c r="C129" s="86"/>
      <c r="D129" s="95"/>
      <c r="E129" s="112"/>
      <c r="F129" s="95">
        <f>D129+H129</f>
        <v>27825</v>
      </c>
      <c r="G129" s="113"/>
      <c r="H129" s="42">
        <v>27825</v>
      </c>
      <c r="I129" s="90" t="s">
        <v>210</v>
      </c>
      <c r="J129" s="91"/>
      <c r="K129" s="92"/>
    </row>
    <row r="130" spans="1:11" ht="34.5" customHeight="1" x14ac:dyDescent="0.25">
      <c r="A130" s="172" t="s">
        <v>35</v>
      </c>
      <c r="B130" s="179"/>
      <c r="C130" s="180"/>
      <c r="D130" s="54">
        <f>D131</f>
        <v>55205.91</v>
      </c>
      <c r="E130" s="55"/>
      <c r="F130" s="54">
        <f>F131</f>
        <v>80695.350000000006</v>
      </c>
      <c r="G130" s="55"/>
      <c r="H130" s="45">
        <f>2144.68+23344.76</f>
        <v>25489.439999999999</v>
      </c>
      <c r="I130" s="90"/>
      <c r="J130" s="91"/>
      <c r="K130" s="92"/>
    </row>
    <row r="131" spans="1:11" s="3" customFormat="1" ht="87.75" customHeight="1" x14ac:dyDescent="0.25">
      <c r="A131" s="67" t="s">
        <v>205</v>
      </c>
      <c r="B131" s="68"/>
      <c r="C131" s="69"/>
      <c r="D131" s="95">
        <v>55205.91</v>
      </c>
      <c r="E131" s="112"/>
      <c r="F131" s="95">
        <f>D131+H131</f>
        <v>80695.350000000006</v>
      </c>
      <c r="G131" s="113"/>
      <c r="H131" s="42">
        <f>2144.68+23344.76</f>
        <v>25489.439999999999</v>
      </c>
      <c r="I131" s="122" t="s">
        <v>225</v>
      </c>
      <c r="J131" s="123"/>
      <c r="K131" s="124"/>
    </row>
    <row r="132" spans="1:11" s="30" customFormat="1" ht="25.5" customHeight="1" x14ac:dyDescent="0.25">
      <c r="A132" s="105" t="s">
        <v>40</v>
      </c>
      <c r="B132" s="106"/>
      <c r="C132" s="107"/>
      <c r="D132" s="108">
        <v>0</v>
      </c>
      <c r="E132" s="109"/>
      <c r="F132" s="108">
        <f t="shared" ref="F132:F138" si="9">D132+H132</f>
        <v>41480.660000000003</v>
      </c>
      <c r="G132" s="109"/>
      <c r="H132" s="42">
        <f>SUM(H133:H138)</f>
        <v>41480.660000000003</v>
      </c>
      <c r="I132" s="61"/>
      <c r="J132" s="110"/>
      <c r="K132" s="111"/>
    </row>
    <row r="133" spans="1:11" s="30" customFormat="1" ht="18.75" customHeight="1" x14ac:dyDescent="0.25">
      <c r="A133" s="67" t="s">
        <v>116</v>
      </c>
      <c r="B133" s="68"/>
      <c r="C133" s="69"/>
      <c r="D133" s="59"/>
      <c r="E133" s="60"/>
      <c r="F133" s="59">
        <f t="shared" si="9"/>
        <v>8400</v>
      </c>
      <c r="G133" s="60"/>
      <c r="H133" s="42">
        <v>8400</v>
      </c>
      <c r="I133" s="206" t="s">
        <v>225</v>
      </c>
      <c r="J133" s="254"/>
      <c r="K133" s="255"/>
    </row>
    <row r="134" spans="1:11" s="30" customFormat="1" ht="19.5" customHeight="1" x14ac:dyDescent="0.25">
      <c r="A134" s="67" t="s">
        <v>117</v>
      </c>
      <c r="B134" s="93"/>
      <c r="C134" s="94"/>
      <c r="D134" s="59"/>
      <c r="E134" s="60"/>
      <c r="F134" s="59">
        <f t="shared" si="9"/>
        <v>10080</v>
      </c>
      <c r="G134" s="60"/>
      <c r="H134" s="42">
        <v>10080</v>
      </c>
      <c r="I134" s="256"/>
      <c r="J134" s="257"/>
      <c r="K134" s="258"/>
    </row>
    <row r="135" spans="1:11" s="30" customFormat="1" ht="18" customHeight="1" x14ac:dyDescent="0.25">
      <c r="A135" s="67" t="s">
        <v>118</v>
      </c>
      <c r="B135" s="68"/>
      <c r="C135" s="69"/>
      <c r="D135" s="59"/>
      <c r="E135" s="60"/>
      <c r="F135" s="59">
        <f t="shared" si="9"/>
        <v>13440</v>
      </c>
      <c r="G135" s="60"/>
      <c r="H135" s="42">
        <v>13440</v>
      </c>
      <c r="I135" s="256"/>
      <c r="J135" s="257"/>
      <c r="K135" s="258"/>
    </row>
    <row r="136" spans="1:11" s="30" customFormat="1" ht="15.75" customHeight="1" x14ac:dyDescent="0.25">
      <c r="A136" s="67" t="s">
        <v>119</v>
      </c>
      <c r="B136" s="68"/>
      <c r="C136" s="69"/>
      <c r="D136" s="59"/>
      <c r="E136" s="60"/>
      <c r="F136" s="59">
        <f t="shared" si="9"/>
        <v>6720</v>
      </c>
      <c r="G136" s="60"/>
      <c r="H136" s="42">
        <v>6720</v>
      </c>
      <c r="I136" s="256"/>
      <c r="J136" s="257"/>
      <c r="K136" s="258"/>
    </row>
    <row r="137" spans="1:11" s="30" customFormat="1" ht="18" customHeight="1" x14ac:dyDescent="0.25">
      <c r="A137" s="67" t="s">
        <v>91</v>
      </c>
      <c r="B137" s="68"/>
      <c r="C137" s="69"/>
      <c r="D137" s="59"/>
      <c r="E137" s="60"/>
      <c r="F137" s="59">
        <f t="shared" si="9"/>
        <v>800.66</v>
      </c>
      <c r="G137" s="60"/>
      <c r="H137" s="42">
        <v>800.66</v>
      </c>
      <c r="I137" s="256"/>
      <c r="J137" s="257"/>
      <c r="K137" s="258"/>
    </row>
    <row r="138" spans="1:11" s="30" customFormat="1" ht="19.5" customHeight="1" x14ac:dyDescent="0.25">
      <c r="A138" s="67" t="s">
        <v>120</v>
      </c>
      <c r="B138" s="68"/>
      <c r="C138" s="69"/>
      <c r="D138" s="59"/>
      <c r="E138" s="60"/>
      <c r="F138" s="59">
        <f t="shared" si="9"/>
        <v>2040</v>
      </c>
      <c r="G138" s="60"/>
      <c r="H138" s="42">
        <v>2040</v>
      </c>
      <c r="I138" s="259"/>
      <c r="J138" s="260"/>
      <c r="K138" s="261"/>
    </row>
    <row r="139" spans="1:11" x14ac:dyDescent="0.25">
      <c r="A139" s="64" t="s">
        <v>11</v>
      </c>
      <c r="B139" s="64"/>
      <c r="C139" s="64"/>
      <c r="D139" s="65">
        <f>D97+D98+D99+D102+D103+D105+D107+D118+D122+D124+D130</f>
        <v>1034524.66</v>
      </c>
      <c r="E139" s="66"/>
      <c r="F139" s="65">
        <f>F97+F98+F99+F102+F103+F105+F107+F116+F118+F122+F124+F130+F132</f>
        <v>1027240.6600000001</v>
      </c>
      <c r="G139" s="66"/>
      <c r="H139" s="38">
        <f>H97+H98+H99+H102+H103+H105+H107+H116+H118+H122+H124+H130+H132</f>
        <v>-7284</v>
      </c>
      <c r="I139" s="50"/>
      <c r="J139" s="50"/>
      <c r="K139" s="50"/>
    </row>
    <row r="140" spans="1:11" ht="12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 x14ac:dyDescent="0.25">
      <c r="A141" s="75" t="s">
        <v>50</v>
      </c>
      <c r="B141" s="75"/>
      <c r="C141" s="75"/>
      <c r="D141" s="75"/>
      <c r="E141" s="75"/>
      <c r="F141" s="75"/>
      <c r="G141" s="75"/>
      <c r="H141" s="75"/>
      <c r="I141" s="75"/>
      <c r="J141" s="75"/>
      <c r="K141" s="75"/>
    </row>
    <row r="142" spans="1:11" ht="8.25" customHeight="1" x14ac:dyDescent="0.2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</row>
    <row r="143" spans="1:11" x14ac:dyDescent="0.25">
      <c r="A143" s="50"/>
      <c r="B143" s="50"/>
      <c r="C143" s="50"/>
      <c r="D143" s="71" t="s">
        <v>5</v>
      </c>
      <c r="E143" s="71"/>
      <c r="F143" s="71" t="s">
        <v>6</v>
      </c>
      <c r="G143" s="71"/>
      <c r="H143" s="24" t="s">
        <v>14</v>
      </c>
      <c r="I143" s="72" t="s">
        <v>13</v>
      </c>
      <c r="J143" s="73"/>
      <c r="K143" s="74"/>
    </row>
    <row r="144" spans="1:11" ht="18.75" customHeight="1" x14ac:dyDescent="0.25">
      <c r="A144" s="51" t="s">
        <v>19</v>
      </c>
      <c r="B144" s="52"/>
      <c r="C144" s="53"/>
      <c r="D144" s="54">
        <f>SUM(D145:E149)</f>
        <v>1340730</v>
      </c>
      <c r="E144" s="55"/>
      <c r="F144" s="54">
        <f>F145+F146+F147+F148+F149</f>
        <v>1340730</v>
      </c>
      <c r="G144" s="55"/>
      <c r="H144" s="13"/>
      <c r="I144" s="56"/>
      <c r="J144" s="57"/>
      <c r="K144" s="58"/>
    </row>
    <row r="145" spans="1:11" ht="30" customHeight="1" x14ac:dyDescent="0.25">
      <c r="A145" s="84" t="s">
        <v>95</v>
      </c>
      <c r="B145" s="152"/>
      <c r="C145" s="153"/>
      <c r="D145" s="95">
        <v>208263.4</v>
      </c>
      <c r="E145" s="113"/>
      <c r="F145" s="95">
        <f t="shared" ref="F145" si="10">D145+H145</f>
        <v>208263.4</v>
      </c>
      <c r="G145" s="113"/>
      <c r="H145" s="15"/>
      <c r="I145" s="167"/>
      <c r="J145" s="168"/>
      <c r="K145" s="169"/>
    </row>
    <row r="146" spans="1:11" ht="30" customHeight="1" x14ac:dyDescent="0.25">
      <c r="A146" s="84" t="s">
        <v>96</v>
      </c>
      <c r="B146" s="170"/>
      <c r="C146" s="171"/>
      <c r="D146" s="95">
        <v>0</v>
      </c>
      <c r="E146" s="112"/>
      <c r="F146" s="95">
        <f>D146+H146</f>
        <v>0</v>
      </c>
      <c r="G146" s="112"/>
      <c r="H146" s="15"/>
      <c r="I146" s="167"/>
      <c r="J146" s="168"/>
      <c r="K146" s="169"/>
    </row>
    <row r="147" spans="1:11" ht="30" customHeight="1" x14ac:dyDescent="0.25">
      <c r="A147" s="84" t="s">
        <v>150</v>
      </c>
      <c r="B147" s="170"/>
      <c r="C147" s="171"/>
      <c r="D147" s="95">
        <v>99743</v>
      </c>
      <c r="E147" s="112"/>
      <c r="F147" s="95">
        <f>D147+H147</f>
        <v>99743</v>
      </c>
      <c r="G147" s="112"/>
      <c r="H147" s="15"/>
      <c r="I147" s="167"/>
      <c r="J147" s="168"/>
      <c r="K147" s="169"/>
    </row>
    <row r="148" spans="1:11" ht="21" customHeight="1" x14ac:dyDescent="0.25">
      <c r="A148" s="84" t="s">
        <v>106</v>
      </c>
      <c r="B148" s="170"/>
      <c r="C148" s="171"/>
      <c r="D148" s="95">
        <v>547343.31999999995</v>
      </c>
      <c r="E148" s="112"/>
      <c r="F148" s="95">
        <f>D148+H148</f>
        <v>547343.31999999995</v>
      </c>
      <c r="G148" s="112"/>
      <c r="H148" s="15"/>
      <c r="I148" s="56"/>
      <c r="J148" s="57"/>
      <c r="K148" s="58"/>
    </row>
    <row r="149" spans="1:11" ht="24.75" customHeight="1" x14ac:dyDescent="0.25">
      <c r="A149" s="84" t="s">
        <v>151</v>
      </c>
      <c r="B149" s="170"/>
      <c r="C149" s="171"/>
      <c r="D149" s="95">
        <v>485380.28</v>
      </c>
      <c r="E149" s="112"/>
      <c r="F149" s="95">
        <f>D149+H149</f>
        <v>485380.28</v>
      </c>
      <c r="G149" s="112"/>
      <c r="H149" s="15"/>
      <c r="I149" s="56"/>
      <c r="J149" s="57"/>
      <c r="K149" s="58"/>
    </row>
    <row r="150" spans="1:11" x14ac:dyDescent="0.25">
      <c r="A150" s="64" t="s">
        <v>11</v>
      </c>
      <c r="B150" s="64"/>
      <c r="C150" s="64"/>
      <c r="D150" s="65">
        <f>D144</f>
        <v>1340730</v>
      </c>
      <c r="E150" s="66"/>
      <c r="F150" s="65">
        <f>F144</f>
        <v>1340730</v>
      </c>
      <c r="G150" s="66"/>
      <c r="H150" s="28"/>
      <c r="I150" s="50"/>
      <c r="J150" s="50"/>
      <c r="K150" s="50"/>
    </row>
    <row r="151" spans="1:11" ht="45" customHeight="1" x14ac:dyDescent="0.25">
      <c r="A151" s="166" t="s">
        <v>27</v>
      </c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</row>
    <row r="152" spans="1:11" ht="30.75" customHeight="1" x14ac:dyDescent="0.25">
      <c r="A152" s="166" t="s">
        <v>97</v>
      </c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</row>
    <row r="153" spans="1:11" ht="20.2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 ht="20.2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 ht="15" customHeight="1" x14ac:dyDescent="0.25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</row>
    <row r="156" spans="1:11" ht="134.25" customHeight="1" x14ac:dyDescent="0.25">
      <c r="A156" s="189" t="s">
        <v>110</v>
      </c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</row>
    <row r="157" spans="1:11" x14ac:dyDescent="0.25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</row>
    <row r="158" spans="1:11" x14ac:dyDescent="0.25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</row>
    <row r="159" spans="1:11" x14ac:dyDescent="0.25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</row>
    <row r="160" spans="1:11" x14ac:dyDescent="0.25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</row>
    <row r="161" spans="1:11" x14ac:dyDescent="0.25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</row>
    <row r="162" spans="1:11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</row>
    <row r="163" spans="1:11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</row>
    <row r="164" spans="1:11" x14ac:dyDescent="0.25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</row>
    <row r="165" spans="1:11" x14ac:dyDescent="0.2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</row>
  </sheetData>
  <mergeCells count="505"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20:C20"/>
    <mergeCell ref="D20:E20"/>
    <mergeCell ref="F20:G20"/>
    <mergeCell ref="H20:J20"/>
    <mergeCell ref="A21:C21"/>
    <mergeCell ref="D21:E21"/>
    <mergeCell ref="F21:G21"/>
    <mergeCell ref="H21:J21"/>
    <mergeCell ref="A14:J14"/>
    <mergeCell ref="A16:J16"/>
    <mergeCell ref="A17:J17"/>
    <mergeCell ref="A19:C19"/>
    <mergeCell ref="D19:E19"/>
    <mergeCell ref="F19:G19"/>
    <mergeCell ref="H19:J19"/>
    <mergeCell ref="A24:C24"/>
    <mergeCell ref="D24:E24"/>
    <mergeCell ref="F24:G24"/>
    <mergeCell ref="H24:J24"/>
    <mergeCell ref="A26:J26"/>
    <mergeCell ref="A28:J28"/>
    <mergeCell ref="A22:C22"/>
    <mergeCell ref="D22:E22"/>
    <mergeCell ref="F22:G22"/>
    <mergeCell ref="H22:J22"/>
    <mergeCell ref="A23:C23"/>
    <mergeCell ref="D23:E23"/>
    <mergeCell ref="F23:G23"/>
    <mergeCell ref="H23:J23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F32:G32"/>
    <mergeCell ref="D33:E33"/>
    <mergeCell ref="F33:G33"/>
    <mergeCell ref="I33:K33"/>
    <mergeCell ref="A34:C34"/>
    <mergeCell ref="D34:E34"/>
    <mergeCell ref="F34:G34"/>
    <mergeCell ref="I34:K34"/>
    <mergeCell ref="A39:C39"/>
    <mergeCell ref="D39:E39"/>
    <mergeCell ref="F39:G39"/>
    <mergeCell ref="I39:K39"/>
    <mergeCell ref="A37:C37"/>
    <mergeCell ref="D37:E37"/>
    <mergeCell ref="F37:G37"/>
    <mergeCell ref="I37:K37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A40:C40"/>
    <mergeCell ref="D40:E40"/>
    <mergeCell ref="F40:G40"/>
    <mergeCell ref="I40:K40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85:C85"/>
    <mergeCell ref="D85:E85"/>
    <mergeCell ref="A81:C81"/>
    <mergeCell ref="D81:E81"/>
    <mergeCell ref="F81:G81"/>
    <mergeCell ref="I81:K81"/>
    <mergeCell ref="A82:C82"/>
    <mergeCell ref="D82:E82"/>
    <mergeCell ref="F82:G82"/>
    <mergeCell ref="I82:K82"/>
    <mergeCell ref="A83:C83"/>
    <mergeCell ref="D83:E83"/>
    <mergeCell ref="F83:G83"/>
    <mergeCell ref="I83:K83"/>
    <mergeCell ref="A84:C84"/>
    <mergeCell ref="D84:E84"/>
    <mergeCell ref="F84:G84"/>
    <mergeCell ref="I84:K84"/>
    <mergeCell ref="F85:G85"/>
    <mergeCell ref="I85:K85"/>
    <mergeCell ref="I91:K91"/>
    <mergeCell ref="A92:C92"/>
    <mergeCell ref="D92:E92"/>
    <mergeCell ref="F92:G92"/>
    <mergeCell ref="I92:K92"/>
    <mergeCell ref="A94:K94"/>
    <mergeCell ref="A90:C90"/>
    <mergeCell ref="D90:E90"/>
    <mergeCell ref="F90:G90"/>
    <mergeCell ref="A91:C91"/>
    <mergeCell ref="D91:E91"/>
    <mergeCell ref="F91:G91"/>
    <mergeCell ref="D86:E86"/>
    <mergeCell ref="F86:G86"/>
    <mergeCell ref="I86:K90"/>
    <mergeCell ref="A87:C87"/>
    <mergeCell ref="D87:E87"/>
    <mergeCell ref="A88:C88"/>
    <mergeCell ref="D88:E88"/>
    <mergeCell ref="F88:G88"/>
    <mergeCell ref="A89:C89"/>
    <mergeCell ref="D89:E89"/>
    <mergeCell ref="F89:G89"/>
    <mergeCell ref="F87:G87"/>
    <mergeCell ref="A86:C86"/>
    <mergeCell ref="A96:C96"/>
    <mergeCell ref="D96:E96"/>
    <mergeCell ref="F96:G96"/>
    <mergeCell ref="I96:K96"/>
    <mergeCell ref="A97:C97"/>
    <mergeCell ref="D97:E97"/>
    <mergeCell ref="F97:G97"/>
    <mergeCell ref="I97:K98"/>
    <mergeCell ref="A98:C98"/>
    <mergeCell ref="D98:E98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F98:G98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D106:E106"/>
    <mergeCell ref="F106:G106"/>
    <mergeCell ref="I106:K106"/>
    <mergeCell ref="A109:C109"/>
    <mergeCell ref="D109:E109"/>
    <mergeCell ref="F109:G109"/>
    <mergeCell ref="I109:K109"/>
    <mergeCell ref="A110:C110"/>
    <mergeCell ref="D110:E110"/>
    <mergeCell ref="F110:G110"/>
    <mergeCell ref="A111:C111"/>
    <mergeCell ref="D111:E111"/>
    <mergeCell ref="I110:K110"/>
    <mergeCell ref="F115:G115"/>
    <mergeCell ref="I115:K115"/>
    <mergeCell ref="F111:G111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5:C115"/>
    <mergeCell ref="D115:E115"/>
    <mergeCell ref="I111:K111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2"/>
    <mergeCell ref="A123:C123"/>
    <mergeCell ref="D123:E123"/>
    <mergeCell ref="F123:G123"/>
    <mergeCell ref="I131:K131"/>
    <mergeCell ref="A139:C139"/>
    <mergeCell ref="D139:E139"/>
    <mergeCell ref="F139:G139"/>
    <mergeCell ref="I139:K139"/>
    <mergeCell ref="A128:C128"/>
    <mergeCell ref="D128:E128"/>
    <mergeCell ref="F128:G128"/>
    <mergeCell ref="I128:K128"/>
    <mergeCell ref="A130:C130"/>
    <mergeCell ref="D130:E130"/>
    <mergeCell ref="F130:G130"/>
    <mergeCell ref="I130:K130"/>
    <mergeCell ref="A133:C133"/>
    <mergeCell ref="D133:E133"/>
    <mergeCell ref="F133:G133"/>
    <mergeCell ref="A134:C134"/>
    <mergeCell ref="D134:E134"/>
    <mergeCell ref="F134:G134"/>
    <mergeCell ref="A135:C135"/>
    <mergeCell ref="F144:G144"/>
    <mergeCell ref="I144:K144"/>
    <mergeCell ref="A145:C145"/>
    <mergeCell ref="D145:E145"/>
    <mergeCell ref="F145:G145"/>
    <mergeCell ref="I145:K145"/>
    <mergeCell ref="A141:K141"/>
    <mergeCell ref="A142:K142"/>
    <mergeCell ref="A143:C143"/>
    <mergeCell ref="D143:E143"/>
    <mergeCell ref="F143:G143"/>
    <mergeCell ref="I143:K143"/>
    <mergeCell ref="A162:K162"/>
    <mergeCell ref="A163:K163"/>
    <mergeCell ref="A164:K164"/>
    <mergeCell ref="A165:K165"/>
    <mergeCell ref="A105:C105"/>
    <mergeCell ref="D105:E105"/>
    <mergeCell ref="F105:G105"/>
    <mergeCell ref="I105:K105"/>
    <mergeCell ref="A106:C106"/>
    <mergeCell ref="A155:K155"/>
    <mergeCell ref="A156:K156"/>
    <mergeCell ref="A157:K157"/>
    <mergeCell ref="A158:K158"/>
    <mergeCell ref="A159:K159"/>
    <mergeCell ref="A160:K160"/>
    <mergeCell ref="A150:C150"/>
    <mergeCell ref="D150:E150"/>
    <mergeCell ref="F150:G150"/>
    <mergeCell ref="I150:K150"/>
    <mergeCell ref="A151:K151"/>
    <mergeCell ref="A152:K152"/>
    <mergeCell ref="A148:C148"/>
    <mergeCell ref="D148:E148"/>
    <mergeCell ref="F148:G148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61:K161"/>
    <mergeCell ref="I148:K148"/>
    <mergeCell ref="A149:C149"/>
    <mergeCell ref="D149:E149"/>
    <mergeCell ref="F149:G149"/>
    <mergeCell ref="I149:K149"/>
    <mergeCell ref="A146:C146"/>
    <mergeCell ref="D146:E146"/>
    <mergeCell ref="F146:G146"/>
    <mergeCell ref="I146:K146"/>
    <mergeCell ref="A147:C147"/>
    <mergeCell ref="D147:E147"/>
    <mergeCell ref="F147:G147"/>
    <mergeCell ref="I147:K147"/>
    <mergeCell ref="A144:C144"/>
    <mergeCell ref="D144:E144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32:C132"/>
    <mergeCell ref="D132:E132"/>
    <mergeCell ref="F132:G132"/>
    <mergeCell ref="I132:K132"/>
    <mergeCell ref="I126:K126"/>
    <mergeCell ref="I127:K127"/>
    <mergeCell ref="A129:C129"/>
    <mergeCell ref="D129:E129"/>
    <mergeCell ref="F129:G129"/>
    <mergeCell ref="I129:K129"/>
    <mergeCell ref="A120:C120"/>
    <mergeCell ref="D120:E120"/>
    <mergeCell ref="F120:G120"/>
    <mergeCell ref="A121:C121"/>
    <mergeCell ref="D121:E121"/>
    <mergeCell ref="F121:G121"/>
    <mergeCell ref="I120:K121"/>
    <mergeCell ref="I133:K138"/>
    <mergeCell ref="D135:E135"/>
    <mergeCell ref="F135:G135"/>
    <mergeCell ref="A136:C136"/>
    <mergeCell ref="D136:E136"/>
    <mergeCell ref="F136:G136"/>
    <mergeCell ref="A137:C137"/>
    <mergeCell ref="D137:E137"/>
    <mergeCell ref="F137:G137"/>
    <mergeCell ref="A138:C138"/>
    <mergeCell ref="D138:E138"/>
    <mergeCell ref="F138:G138"/>
    <mergeCell ref="A126:C126"/>
    <mergeCell ref="D126:E126"/>
    <mergeCell ref="F126:G126"/>
    <mergeCell ref="A127:C127"/>
    <mergeCell ref="D127:E127"/>
    <mergeCell ref="F127:G127"/>
    <mergeCell ref="A124:C124"/>
    <mergeCell ref="I123:K123"/>
    <mergeCell ref="A131:C131"/>
    <mergeCell ref="D131:E131"/>
    <mergeCell ref="F131:G131"/>
  </mergeCells>
  <pageMargins left="0.11811023622047245" right="0.11811023622047245" top="0.78740157480314965" bottom="0.59055118110236227" header="0.31496062992125984" footer="0.31496062992125984"/>
  <pageSetup paperSize="9" scale="79" fitToHeight="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66"/>
  <sheetViews>
    <sheetView topLeftCell="A140" workbookViewId="0">
      <selection activeCell="D120" sqref="D120:E120"/>
    </sheetView>
  </sheetViews>
  <sheetFormatPr defaultRowHeight="15" x14ac:dyDescent="0.25"/>
  <cols>
    <col min="1" max="1" width="15.140625" customWidth="1"/>
    <col min="2" max="2" width="14.28515625" customWidth="1"/>
    <col min="3" max="3" width="17.5703125" customWidth="1"/>
    <col min="4" max="4" width="10" bestFit="1" customWidth="1"/>
    <col min="5" max="5" width="9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114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114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114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 x14ac:dyDescent="0.25">
      <c r="A5" s="114"/>
      <c r="B5" s="70"/>
      <c r="C5" s="70"/>
      <c r="D5" s="70"/>
      <c r="E5" s="70"/>
      <c r="F5" s="70"/>
      <c r="G5" s="70"/>
      <c r="H5" s="70"/>
      <c r="I5" s="70"/>
    </row>
    <row r="6" spans="1:10" x14ac:dyDescent="0.25">
      <c r="A6" s="223" t="s">
        <v>212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10" ht="15.75" x14ac:dyDescent="0.25">
      <c r="A7" s="114"/>
      <c r="B7" s="70"/>
      <c r="C7" s="70"/>
      <c r="D7" s="70"/>
      <c r="E7" s="70"/>
      <c r="F7" s="70"/>
      <c r="G7" s="70"/>
      <c r="H7" s="70"/>
      <c r="I7" s="70"/>
      <c r="J7" s="70"/>
    </row>
    <row r="8" spans="1:10" ht="46.5" customHeight="1" x14ac:dyDescent="0.25">
      <c r="A8" s="129" t="s">
        <v>3</v>
      </c>
      <c r="B8" s="130"/>
      <c r="C8" s="130"/>
      <c r="D8" s="130"/>
      <c r="E8" s="130"/>
      <c r="F8" s="130"/>
      <c r="G8" s="130"/>
      <c r="H8" s="130"/>
      <c r="I8" s="130"/>
      <c r="J8" s="70"/>
    </row>
    <row r="9" spans="1:10" ht="7.5" customHeight="1" x14ac:dyDescent="0.25">
      <c r="A9" s="114"/>
      <c r="B9" s="70"/>
      <c r="C9" s="70"/>
      <c r="D9" s="70"/>
      <c r="E9" s="70"/>
      <c r="F9" s="70"/>
      <c r="G9" s="70"/>
      <c r="H9" s="70"/>
      <c r="I9" s="70"/>
    </row>
    <row r="10" spans="1:10" ht="137.25" customHeight="1" x14ac:dyDescent="0.3">
      <c r="A10" s="194" t="s">
        <v>149</v>
      </c>
      <c r="B10" s="195"/>
      <c r="C10" s="195"/>
      <c r="D10" s="195"/>
      <c r="E10" s="195"/>
      <c r="F10" s="195"/>
      <c r="G10" s="195"/>
      <c r="H10" s="195"/>
      <c r="I10" s="195"/>
      <c r="J10" s="19"/>
    </row>
    <row r="11" spans="1:10" ht="18" customHeight="1" x14ac:dyDescent="0.25">
      <c r="A11" s="126" t="s">
        <v>125</v>
      </c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ht="49.5" customHeight="1" x14ac:dyDescent="0.25">
      <c r="A12" s="126" t="s">
        <v>209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ht="15.75" x14ac:dyDescent="0.25">
      <c r="A13" s="131" t="s">
        <v>30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ht="50.25" customHeight="1" x14ac:dyDescent="0.25">
      <c r="A14" s="203" t="s">
        <v>195</v>
      </c>
      <c r="B14" s="130"/>
      <c r="C14" s="130"/>
      <c r="D14" s="130"/>
      <c r="E14" s="130"/>
      <c r="F14" s="130"/>
      <c r="G14" s="130"/>
      <c r="H14" s="130"/>
      <c r="I14" s="130"/>
      <c r="J14" s="70"/>
    </row>
    <row r="15" spans="1:10" ht="12.7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15.75" x14ac:dyDescent="0.25">
      <c r="A16" s="114" t="s">
        <v>4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1" ht="15.75" x14ac:dyDescent="0.25">
      <c r="A17" s="115" t="s">
        <v>227</v>
      </c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1" ht="15.75" x14ac:dyDescent="0.25">
      <c r="A18" s="2"/>
    </row>
    <row r="19" spans="1:11" ht="15.75" x14ac:dyDescent="0.25">
      <c r="A19" s="117"/>
      <c r="B19" s="118"/>
      <c r="C19" s="118"/>
      <c r="D19" s="71" t="s">
        <v>21</v>
      </c>
      <c r="E19" s="71"/>
      <c r="F19" s="71" t="s">
        <v>6</v>
      </c>
      <c r="G19" s="71"/>
      <c r="H19" s="117" t="s">
        <v>14</v>
      </c>
      <c r="I19" s="71"/>
      <c r="J19" s="71"/>
    </row>
    <row r="20" spans="1:11" ht="30" customHeight="1" x14ac:dyDescent="0.25">
      <c r="A20" s="137" t="s">
        <v>7</v>
      </c>
      <c r="B20" s="138"/>
      <c r="C20" s="138"/>
      <c r="D20" s="139">
        <v>10266198</v>
      </c>
      <c r="E20" s="139"/>
      <c r="F20" s="139">
        <f>D20+H20</f>
        <v>10198245</v>
      </c>
      <c r="G20" s="139"/>
      <c r="H20" s="222">
        <v>-67953</v>
      </c>
      <c r="I20" s="222"/>
      <c r="J20" s="222"/>
    </row>
    <row r="21" spans="1:11" x14ac:dyDescent="0.25">
      <c r="A21" s="137" t="s">
        <v>8</v>
      </c>
      <c r="B21" s="138"/>
      <c r="C21" s="138"/>
      <c r="D21" s="139">
        <f>308006.4+537000+495723.6</f>
        <v>1340730</v>
      </c>
      <c r="E21" s="139"/>
      <c r="F21" s="139">
        <f t="shared" ref="F21:F23" si="0">D21+H21</f>
        <v>1340730</v>
      </c>
      <c r="G21" s="139"/>
      <c r="H21" s="222"/>
      <c r="I21" s="222"/>
      <c r="J21" s="222"/>
    </row>
    <row r="22" spans="1:11" x14ac:dyDescent="0.25">
      <c r="A22" s="137" t="s">
        <v>9</v>
      </c>
      <c r="B22" s="138"/>
      <c r="C22" s="138"/>
      <c r="D22" s="139">
        <v>0</v>
      </c>
      <c r="E22" s="139"/>
      <c r="F22" s="139">
        <f t="shared" si="0"/>
        <v>0</v>
      </c>
      <c r="G22" s="139"/>
      <c r="H22" s="222"/>
      <c r="I22" s="222"/>
      <c r="J22" s="222"/>
    </row>
    <row r="23" spans="1:11" ht="30" customHeight="1" x14ac:dyDescent="0.25">
      <c r="A23" s="142" t="s">
        <v>10</v>
      </c>
      <c r="B23" s="143"/>
      <c r="C23" s="144"/>
      <c r="D23" s="139">
        <v>1027240.66</v>
      </c>
      <c r="E23" s="139"/>
      <c r="F23" s="204">
        <f t="shared" si="0"/>
        <v>1027240.66</v>
      </c>
      <c r="G23" s="204"/>
      <c r="H23" s="222"/>
      <c r="I23" s="222"/>
      <c r="J23" s="222"/>
    </row>
    <row r="24" spans="1:11" ht="15.75" x14ac:dyDescent="0.25">
      <c r="A24" s="117" t="s">
        <v>11</v>
      </c>
      <c r="B24" s="145"/>
      <c r="C24" s="145"/>
      <c r="D24" s="133">
        <f>D20+D21+D22+D23</f>
        <v>12634168.66</v>
      </c>
      <c r="E24" s="133"/>
      <c r="F24" s="133">
        <f>SUM(F20:G23)</f>
        <v>12566215.66</v>
      </c>
      <c r="G24" s="133"/>
      <c r="H24" s="225">
        <f>H20+H21+H22+H23</f>
        <v>-67953</v>
      </c>
      <c r="I24" s="226"/>
      <c r="J24" s="226"/>
    </row>
    <row r="25" spans="1:11" ht="15.75" x14ac:dyDescent="0.25">
      <c r="A25" s="16"/>
      <c r="B25" s="17"/>
      <c r="C25" s="17"/>
      <c r="D25" s="31"/>
      <c r="E25" s="31"/>
      <c r="F25" s="31"/>
      <c r="G25" s="31"/>
      <c r="H25" s="18"/>
      <c r="I25" s="9"/>
      <c r="J25" s="9"/>
    </row>
    <row r="26" spans="1:11" ht="15.75" x14ac:dyDescent="0.25">
      <c r="A26" s="115" t="s">
        <v>228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8" spans="1:11" x14ac:dyDescent="0.25">
      <c r="A28" s="136" t="s">
        <v>12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1" ht="10.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1" s="3" customFormat="1" x14ac:dyDescent="0.25">
      <c r="A30" s="50"/>
      <c r="B30" s="50"/>
      <c r="C30" s="50"/>
      <c r="D30" s="71" t="s">
        <v>21</v>
      </c>
      <c r="E30" s="71"/>
      <c r="F30" s="71" t="s">
        <v>6</v>
      </c>
      <c r="G30" s="71"/>
      <c r="H30" s="24" t="s">
        <v>14</v>
      </c>
      <c r="I30" s="72" t="s">
        <v>13</v>
      </c>
      <c r="J30" s="73"/>
      <c r="K30" s="74"/>
    </row>
    <row r="31" spans="1:11" s="3" customFormat="1" ht="23.25" customHeight="1" x14ac:dyDescent="0.25">
      <c r="A31" s="121" t="s">
        <v>15</v>
      </c>
      <c r="B31" s="121"/>
      <c r="C31" s="121"/>
      <c r="D31" s="54">
        <v>4101924.57</v>
      </c>
      <c r="E31" s="55"/>
      <c r="F31" s="54">
        <f t="shared" ref="F31:F38" si="1">D31+H31</f>
        <v>4097242.76</v>
      </c>
      <c r="G31" s="55"/>
      <c r="H31" s="48">
        <f>24647.47-29329.28</f>
        <v>-4681.8099999999977</v>
      </c>
      <c r="I31" s="206" t="s">
        <v>216</v>
      </c>
      <c r="J31" s="207"/>
      <c r="K31" s="208"/>
    </row>
    <row r="32" spans="1:11" s="3" customFormat="1" ht="23.25" customHeight="1" x14ac:dyDescent="0.25">
      <c r="A32" s="51" t="s">
        <v>16</v>
      </c>
      <c r="B32" s="52"/>
      <c r="C32" s="53"/>
      <c r="D32" s="119">
        <v>1238781.21</v>
      </c>
      <c r="E32" s="120"/>
      <c r="F32" s="54">
        <f t="shared" si="1"/>
        <v>1237367.3</v>
      </c>
      <c r="G32" s="55"/>
      <c r="H32" s="48">
        <f>7443.53-8857.44</f>
        <v>-1413.9100000000008</v>
      </c>
      <c r="I32" s="215"/>
      <c r="J32" s="216"/>
      <c r="K32" s="217"/>
    </row>
    <row r="33" spans="1:11" s="3" customFormat="1" ht="37.5" customHeight="1" x14ac:dyDescent="0.25">
      <c r="A33" s="51" t="s">
        <v>213</v>
      </c>
      <c r="B33" s="52"/>
      <c r="C33" s="53"/>
      <c r="D33" s="119"/>
      <c r="E33" s="120"/>
      <c r="F33" s="54">
        <f t="shared" ref="F33" si="2">D33+H33</f>
        <v>5000</v>
      </c>
      <c r="G33" s="55"/>
      <c r="H33" s="48">
        <v>5000</v>
      </c>
      <c r="I33" s="90" t="s">
        <v>214</v>
      </c>
      <c r="J33" s="275"/>
      <c r="K33" s="276"/>
    </row>
    <row r="34" spans="1:11" s="3" customFormat="1" ht="16.5" customHeight="1" x14ac:dyDescent="0.25">
      <c r="A34" s="121" t="s">
        <v>18</v>
      </c>
      <c r="B34" s="121"/>
      <c r="C34" s="121"/>
      <c r="D34" s="54">
        <f>SUM(D35:E38)</f>
        <v>18824.400000000001</v>
      </c>
      <c r="E34" s="55"/>
      <c r="F34" s="54">
        <f t="shared" si="1"/>
        <v>21024.720000000001</v>
      </c>
      <c r="G34" s="55"/>
      <c r="H34" s="26">
        <f>SUM(H35:H38)</f>
        <v>2200.3200000000002</v>
      </c>
      <c r="I34" s="97"/>
      <c r="J34" s="273"/>
      <c r="K34" s="274"/>
    </row>
    <row r="35" spans="1:11" s="3" customFormat="1" ht="16.5" customHeight="1" x14ac:dyDescent="0.25">
      <c r="A35" s="154" t="s">
        <v>41</v>
      </c>
      <c r="B35" s="155"/>
      <c r="C35" s="96"/>
      <c r="D35" s="95">
        <v>14400</v>
      </c>
      <c r="E35" s="112"/>
      <c r="F35" s="95">
        <f t="shared" si="1"/>
        <v>14400</v>
      </c>
      <c r="G35" s="113"/>
      <c r="H35" s="10"/>
      <c r="I35" s="90"/>
      <c r="J35" s="275"/>
      <c r="K35" s="276"/>
    </row>
    <row r="36" spans="1:11" s="3" customFormat="1" ht="49.5" customHeight="1" x14ac:dyDescent="0.25">
      <c r="A36" s="154" t="s">
        <v>202</v>
      </c>
      <c r="B36" s="155"/>
      <c r="C36" s="96"/>
      <c r="D36" s="95">
        <v>2647.2</v>
      </c>
      <c r="E36" s="112"/>
      <c r="F36" s="95">
        <f t="shared" si="1"/>
        <v>3340.7999999999997</v>
      </c>
      <c r="G36" s="113"/>
      <c r="H36" s="10">
        <v>693.6</v>
      </c>
      <c r="I36" s="262" t="s">
        <v>217</v>
      </c>
      <c r="J36" s="271"/>
      <c r="K36" s="272"/>
    </row>
    <row r="37" spans="1:11" s="3" customFormat="1" ht="16.5" customHeight="1" x14ac:dyDescent="0.25">
      <c r="A37" s="84" t="s">
        <v>68</v>
      </c>
      <c r="B37" s="152"/>
      <c r="C37" s="153"/>
      <c r="D37" s="95">
        <v>277.2</v>
      </c>
      <c r="E37" s="112"/>
      <c r="F37" s="95">
        <f t="shared" si="1"/>
        <v>277.2</v>
      </c>
      <c r="G37" s="113"/>
      <c r="H37" s="10"/>
      <c r="I37" s="90"/>
      <c r="J37" s="91"/>
      <c r="K37" s="92"/>
    </row>
    <row r="38" spans="1:11" s="3" customFormat="1" ht="50.25" customHeight="1" x14ac:dyDescent="0.25">
      <c r="A38" s="84" t="s">
        <v>218</v>
      </c>
      <c r="B38" s="152"/>
      <c r="C38" s="153"/>
      <c r="D38" s="95">
        <v>1500</v>
      </c>
      <c r="E38" s="112"/>
      <c r="F38" s="95">
        <f t="shared" si="1"/>
        <v>3006.7200000000003</v>
      </c>
      <c r="G38" s="113"/>
      <c r="H38" s="10">
        <v>1506.72</v>
      </c>
      <c r="I38" s="262" t="s">
        <v>217</v>
      </c>
      <c r="J38" s="271"/>
      <c r="K38" s="272"/>
    </row>
    <row r="39" spans="1:11" s="3" customFormat="1" ht="16.5" customHeight="1" x14ac:dyDescent="0.25">
      <c r="A39" s="51" t="s">
        <v>17</v>
      </c>
      <c r="B39" s="52"/>
      <c r="C39" s="53"/>
      <c r="D39" s="149">
        <f>SUM(D40:E42)</f>
        <v>672212.77</v>
      </c>
      <c r="E39" s="150"/>
      <c r="F39" s="149">
        <f>H39+D39</f>
        <v>672257.64</v>
      </c>
      <c r="G39" s="150"/>
      <c r="H39" s="39">
        <f>SUM(H40:H42)</f>
        <v>44.87</v>
      </c>
      <c r="I39" s="151"/>
      <c r="J39" s="151"/>
      <c r="K39" s="151"/>
    </row>
    <row r="40" spans="1:11" s="3" customFormat="1" ht="23.25" customHeight="1" x14ac:dyDescent="0.25">
      <c r="A40" s="84" t="s">
        <v>158</v>
      </c>
      <c r="B40" s="85"/>
      <c r="C40" s="86"/>
      <c r="D40" s="95">
        <v>642804.4</v>
      </c>
      <c r="E40" s="112"/>
      <c r="F40" s="95">
        <f>H40+D40</f>
        <v>642804.4</v>
      </c>
      <c r="G40" s="113"/>
      <c r="H40" s="45"/>
      <c r="I40" s="90"/>
      <c r="J40" s="91"/>
      <c r="K40" s="92"/>
    </row>
    <row r="41" spans="1:11" s="3" customFormat="1" ht="54.75" customHeight="1" x14ac:dyDescent="0.25">
      <c r="A41" s="84" t="s">
        <v>203</v>
      </c>
      <c r="B41" s="85"/>
      <c r="C41" s="86"/>
      <c r="D41" s="95">
        <f>3*2800.19</f>
        <v>8400.57</v>
      </c>
      <c r="E41" s="112"/>
      <c r="F41" s="95">
        <f>H41+D41</f>
        <v>8445.44</v>
      </c>
      <c r="G41" s="113"/>
      <c r="H41" s="42">
        <v>44.87</v>
      </c>
      <c r="I41" s="262" t="s">
        <v>217</v>
      </c>
      <c r="J41" s="271"/>
      <c r="K41" s="272"/>
    </row>
    <row r="42" spans="1:11" s="3" customFormat="1" ht="34.5" customHeight="1" x14ac:dyDescent="0.25">
      <c r="A42" s="84" t="s">
        <v>72</v>
      </c>
      <c r="B42" s="85"/>
      <c r="C42" s="86"/>
      <c r="D42" s="95">
        <v>21007.8</v>
      </c>
      <c r="E42" s="112"/>
      <c r="F42" s="95">
        <f>H42+D42</f>
        <v>21007.8</v>
      </c>
      <c r="G42" s="113"/>
      <c r="H42" s="42"/>
      <c r="I42" s="90"/>
      <c r="J42" s="91"/>
      <c r="K42" s="92"/>
    </row>
    <row r="43" spans="1:11" s="3" customFormat="1" ht="19.5" customHeight="1" x14ac:dyDescent="0.25">
      <c r="A43" s="51" t="s">
        <v>19</v>
      </c>
      <c r="B43" s="52"/>
      <c r="C43" s="53"/>
      <c r="D43" s="149">
        <f>SUM(D44:E54)</f>
        <v>391012.25</v>
      </c>
      <c r="E43" s="150"/>
      <c r="F43" s="149">
        <f>D43+H43</f>
        <v>389162.25</v>
      </c>
      <c r="G43" s="150"/>
      <c r="H43" s="39">
        <f>SUM(H45:H54)</f>
        <v>-1850</v>
      </c>
      <c r="I43" s="122"/>
      <c r="J43" s="123"/>
      <c r="K43" s="124"/>
    </row>
    <row r="44" spans="1:11" s="3" customFormat="1" ht="65.25" customHeight="1" x14ac:dyDescent="0.25">
      <c r="A44" s="84" t="s">
        <v>74</v>
      </c>
      <c r="B44" s="85"/>
      <c r="C44" s="86"/>
      <c r="D44" s="59">
        <f>20000+3*10000+15000</f>
        <v>65000</v>
      </c>
      <c r="E44" s="60"/>
      <c r="F44" s="95">
        <f t="shared" ref="F44:F54" si="3">D44+H44</f>
        <v>65000</v>
      </c>
      <c r="G44" s="113"/>
      <c r="H44" s="40"/>
      <c r="I44" s="90"/>
      <c r="J44" s="91"/>
      <c r="K44" s="92"/>
    </row>
    <row r="45" spans="1:11" s="3" customFormat="1" ht="72" customHeight="1" x14ac:dyDescent="0.25">
      <c r="A45" s="84" t="s">
        <v>159</v>
      </c>
      <c r="B45" s="85"/>
      <c r="C45" s="86"/>
      <c r="D45" s="59">
        <v>35250</v>
      </c>
      <c r="E45" s="60"/>
      <c r="F45" s="95">
        <f t="shared" si="3"/>
        <v>35250</v>
      </c>
      <c r="G45" s="113"/>
      <c r="H45" s="42"/>
      <c r="I45" s="90"/>
      <c r="J45" s="91"/>
      <c r="K45" s="92"/>
    </row>
    <row r="46" spans="1:11" s="3" customFormat="1" ht="38.25" customHeight="1" x14ac:dyDescent="0.25">
      <c r="A46" s="84" t="s">
        <v>22</v>
      </c>
      <c r="B46" s="85"/>
      <c r="C46" s="86"/>
      <c r="D46" s="59">
        <v>1400</v>
      </c>
      <c r="E46" s="60"/>
      <c r="F46" s="95">
        <f t="shared" si="3"/>
        <v>1400</v>
      </c>
      <c r="G46" s="113"/>
      <c r="H46" s="42"/>
      <c r="I46" s="90"/>
      <c r="J46" s="91"/>
      <c r="K46" s="92"/>
    </row>
    <row r="47" spans="1:11" s="3" customFormat="1" ht="51.75" customHeight="1" x14ac:dyDescent="0.25">
      <c r="A47" s="84" t="s">
        <v>36</v>
      </c>
      <c r="B47" s="85"/>
      <c r="C47" s="86"/>
      <c r="D47" s="59">
        <f>62042.4+120339.85</f>
        <v>182382.25</v>
      </c>
      <c r="E47" s="60"/>
      <c r="F47" s="95">
        <f t="shared" si="3"/>
        <v>182382.25</v>
      </c>
      <c r="G47" s="113"/>
      <c r="H47" s="41"/>
      <c r="I47" s="156"/>
      <c r="J47" s="157"/>
      <c r="K47" s="158"/>
    </row>
    <row r="48" spans="1:11" s="3" customFormat="1" ht="60.75" customHeight="1" x14ac:dyDescent="0.25">
      <c r="A48" s="84" t="s">
        <v>219</v>
      </c>
      <c r="B48" s="85"/>
      <c r="C48" s="86"/>
      <c r="D48" s="59">
        <v>60140</v>
      </c>
      <c r="E48" s="60"/>
      <c r="F48" s="95">
        <f t="shared" si="3"/>
        <v>58290</v>
      </c>
      <c r="G48" s="113"/>
      <c r="H48" s="42">
        <v>-1850</v>
      </c>
      <c r="I48" s="90" t="s">
        <v>221</v>
      </c>
      <c r="J48" s="91"/>
      <c r="K48" s="92"/>
    </row>
    <row r="49" spans="1:11" s="3" customFormat="1" ht="16.5" customHeight="1" x14ac:dyDescent="0.25">
      <c r="A49" s="84" t="s">
        <v>102</v>
      </c>
      <c r="B49" s="85"/>
      <c r="C49" s="86"/>
      <c r="D49" s="59">
        <v>13440</v>
      </c>
      <c r="E49" s="60"/>
      <c r="F49" s="95">
        <f t="shared" si="3"/>
        <v>13440</v>
      </c>
      <c r="G49" s="113"/>
      <c r="H49" s="42"/>
      <c r="I49" s="90"/>
      <c r="J49" s="91"/>
      <c r="K49" s="92"/>
    </row>
    <row r="50" spans="1:11" s="3" customFormat="1" ht="37.5" customHeight="1" x14ac:dyDescent="0.25">
      <c r="A50" s="84" t="s">
        <v>51</v>
      </c>
      <c r="B50" s="85"/>
      <c r="C50" s="86"/>
      <c r="D50" s="59">
        <v>9000</v>
      </c>
      <c r="E50" s="60"/>
      <c r="F50" s="95">
        <f t="shared" si="3"/>
        <v>9000</v>
      </c>
      <c r="G50" s="113"/>
      <c r="H50" s="40"/>
      <c r="I50" s="122"/>
      <c r="J50" s="123"/>
      <c r="K50" s="124"/>
    </row>
    <row r="51" spans="1:11" s="3" customFormat="1" ht="16.5" customHeight="1" x14ac:dyDescent="0.25">
      <c r="A51" s="84" t="s">
        <v>23</v>
      </c>
      <c r="B51" s="85"/>
      <c r="C51" s="86"/>
      <c r="D51" s="59">
        <v>10000</v>
      </c>
      <c r="E51" s="60"/>
      <c r="F51" s="95">
        <f t="shared" si="3"/>
        <v>10000</v>
      </c>
      <c r="G51" s="113"/>
      <c r="H51" s="40"/>
      <c r="I51" s="122"/>
      <c r="J51" s="123"/>
      <c r="K51" s="124"/>
    </row>
    <row r="52" spans="1:11" s="3" customFormat="1" ht="16.5" customHeight="1" x14ac:dyDescent="0.25">
      <c r="A52" s="84" t="s">
        <v>61</v>
      </c>
      <c r="B52" s="85"/>
      <c r="C52" s="86"/>
      <c r="D52" s="59">
        <v>5000</v>
      </c>
      <c r="E52" s="60"/>
      <c r="F52" s="95">
        <f t="shared" si="3"/>
        <v>5000</v>
      </c>
      <c r="G52" s="113"/>
      <c r="H52" s="40"/>
      <c r="I52" s="122"/>
      <c r="J52" s="123"/>
      <c r="K52" s="124"/>
    </row>
    <row r="53" spans="1:11" s="3" customFormat="1" ht="24.75" customHeight="1" x14ac:dyDescent="0.25">
      <c r="A53" s="84" t="s">
        <v>32</v>
      </c>
      <c r="B53" s="159"/>
      <c r="C53" s="160"/>
      <c r="D53" s="59">
        <v>2400</v>
      </c>
      <c r="E53" s="161"/>
      <c r="F53" s="95">
        <f t="shared" si="3"/>
        <v>2400</v>
      </c>
      <c r="G53" s="113"/>
      <c r="H53" s="40"/>
      <c r="I53" s="122"/>
      <c r="J53" s="123"/>
      <c r="K53" s="124"/>
    </row>
    <row r="54" spans="1:11" s="3" customFormat="1" ht="24.75" customHeight="1" x14ac:dyDescent="0.25">
      <c r="A54" s="84" t="s">
        <v>76</v>
      </c>
      <c r="B54" s="159"/>
      <c r="C54" s="160"/>
      <c r="D54" s="59">
        <f>14*500</f>
        <v>7000</v>
      </c>
      <c r="E54" s="161"/>
      <c r="F54" s="95">
        <f t="shared" si="3"/>
        <v>7000</v>
      </c>
      <c r="G54" s="113"/>
      <c r="H54" s="40"/>
      <c r="I54" s="122"/>
      <c r="J54" s="123"/>
      <c r="K54" s="124"/>
    </row>
    <row r="55" spans="1:11" s="3" customFormat="1" ht="16.5" customHeight="1" x14ac:dyDescent="0.25">
      <c r="A55" s="51" t="s">
        <v>20</v>
      </c>
      <c r="B55" s="52"/>
      <c r="C55" s="53"/>
      <c r="D55" s="149">
        <f>SUM(D56:E69)</f>
        <v>3357820</v>
      </c>
      <c r="E55" s="150"/>
      <c r="F55" s="149">
        <f>SUM(F56:G69)</f>
        <v>3349960.48</v>
      </c>
      <c r="G55" s="150"/>
      <c r="H55" s="39">
        <f>SUM(H56:H69)</f>
        <v>-7859.5199999999995</v>
      </c>
      <c r="I55" s="151"/>
      <c r="J55" s="151"/>
      <c r="K55" s="151"/>
    </row>
    <row r="56" spans="1:11" s="3" customFormat="1" ht="27.75" customHeight="1" x14ac:dyDescent="0.25">
      <c r="A56" s="84" t="s">
        <v>52</v>
      </c>
      <c r="B56" s="85"/>
      <c r="C56" s="86"/>
      <c r="D56" s="87">
        <v>7027.2</v>
      </c>
      <c r="E56" s="88"/>
      <c r="F56" s="87">
        <f t="shared" ref="F56:F78" si="4">D56+H56</f>
        <v>7027.2</v>
      </c>
      <c r="G56" s="89"/>
      <c r="H56" s="43"/>
      <c r="I56" s="90"/>
      <c r="J56" s="91"/>
      <c r="K56" s="92"/>
    </row>
    <row r="57" spans="1:11" s="3" customFormat="1" ht="15.75" customHeight="1" x14ac:dyDescent="0.25">
      <c r="A57" s="84" t="s">
        <v>33</v>
      </c>
      <c r="B57" s="85"/>
      <c r="C57" s="86"/>
      <c r="D57" s="87">
        <v>20685.599999999999</v>
      </c>
      <c r="E57" s="88"/>
      <c r="F57" s="87">
        <f t="shared" si="4"/>
        <v>20685.599999999999</v>
      </c>
      <c r="G57" s="89"/>
      <c r="H57" s="44"/>
      <c r="I57" s="162"/>
      <c r="J57" s="163"/>
      <c r="K57" s="164"/>
    </row>
    <row r="58" spans="1:11" s="3" customFormat="1" ht="63" customHeight="1" x14ac:dyDescent="0.25">
      <c r="A58" s="84" t="s">
        <v>47</v>
      </c>
      <c r="B58" s="85"/>
      <c r="C58" s="86"/>
      <c r="D58" s="87">
        <v>50000</v>
      </c>
      <c r="E58" s="88"/>
      <c r="F58" s="87">
        <f t="shared" si="4"/>
        <v>50000</v>
      </c>
      <c r="G58" s="89"/>
      <c r="H58" s="43"/>
      <c r="I58" s="97"/>
      <c r="J58" s="98"/>
      <c r="K58" s="99"/>
    </row>
    <row r="59" spans="1:11" s="3" customFormat="1" ht="61.5" customHeight="1" x14ac:dyDescent="0.25">
      <c r="A59" s="84" t="s">
        <v>215</v>
      </c>
      <c r="B59" s="85"/>
      <c r="C59" s="86"/>
      <c r="D59" s="87">
        <v>31275.200000000001</v>
      </c>
      <c r="E59" s="88"/>
      <c r="F59" s="87">
        <f t="shared" si="4"/>
        <v>30543.360000000001</v>
      </c>
      <c r="G59" s="89"/>
      <c r="H59" s="47">
        <v>-731.84</v>
      </c>
      <c r="I59" s="90" t="s">
        <v>220</v>
      </c>
      <c r="J59" s="91"/>
      <c r="K59" s="92"/>
    </row>
    <row r="60" spans="1:11" s="3" customFormat="1" ht="63.75" customHeight="1" x14ac:dyDescent="0.25">
      <c r="A60" s="84" t="s">
        <v>48</v>
      </c>
      <c r="B60" s="85"/>
      <c r="C60" s="86"/>
      <c r="D60" s="87">
        <v>300000</v>
      </c>
      <c r="E60" s="88"/>
      <c r="F60" s="87">
        <f t="shared" si="4"/>
        <v>299934.71999999997</v>
      </c>
      <c r="G60" s="89"/>
      <c r="H60" s="47">
        <v>-65.28</v>
      </c>
      <c r="I60" s="90" t="s">
        <v>220</v>
      </c>
      <c r="J60" s="91"/>
      <c r="K60" s="92"/>
    </row>
    <row r="61" spans="1:11" s="3" customFormat="1" ht="16.5" customHeight="1" x14ac:dyDescent="0.25">
      <c r="A61" s="84" t="s">
        <v>53</v>
      </c>
      <c r="B61" s="85"/>
      <c r="C61" s="86"/>
      <c r="D61" s="87">
        <v>8600</v>
      </c>
      <c r="E61" s="88"/>
      <c r="F61" s="87">
        <f t="shared" si="4"/>
        <v>8600</v>
      </c>
      <c r="G61" s="89"/>
      <c r="H61" s="47"/>
      <c r="I61" s="90"/>
      <c r="J61" s="91"/>
      <c r="K61" s="92"/>
    </row>
    <row r="62" spans="1:11" s="3" customFormat="1" ht="36.75" customHeight="1" x14ac:dyDescent="0.25">
      <c r="A62" s="84" t="s">
        <v>62</v>
      </c>
      <c r="B62" s="85"/>
      <c r="C62" s="86"/>
      <c r="D62" s="87">
        <v>29790</v>
      </c>
      <c r="E62" s="88"/>
      <c r="F62" s="87">
        <f t="shared" si="4"/>
        <v>29790</v>
      </c>
      <c r="G62" s="89"/>
      <c r="H62" s="47"/>
      <c r="I62" s="90"/>
      <c r="J62" s="91"/>
      <c r="K62" s="92"/>
    </row>
    <row r="63" spans="1:11" s="3" customFormat="1" ht="18" customHeight="1" x14ac:dyDescent="0.25">
      <c r="A63" s="84" t="s">
        <v>54</v>
      </c>
      <c r="B63" s="85"/>
      <c r="C63" s="86"/>
      <c r="D63" s="87">
        <v>51050</v>
      </c>
      <c r="E63" s="88"/>
      <c r="F63" s="87">
        <f t="shared" si="4"/>
        <v>51050</v>
      </c>
      <c r="G63" s="89"/>
      <c r="H63" s="47"/>
      <c r="I63" s="90"/>
      <c r="J63" s="91"/>
      <c r="K63" s="92"/>
    </row>
    <row r="64" spans="1:11" s="3" customFormat="1" ht="37.5" customHeight="1" x14ac:dyDescent="0.25">
      <c r="A64" s="84" t="s">
        <v>78</v>
      </c>
      <c r="B64" s="85"/>
      <c r="C64" s="86"/>
      <c r="D64" s="87">
        <v>0</v>
      </c>
      <c r="E64" s="88"/>
      <c r="F64" s="87">
        <f t="shared" si="4"/>
        <v>0</v>
      </c>
      <c r="G64" s="89"/>
      <c r="H64" s="47"/>
      <c r="I64" s="90"/>
      <c r="J64" s="91"/>
      <c r="K64" s="92"/>
    </row>
    <row r="65" spans="1:11" s="3" customFormat="1" ht="16.5" customHeight="1" x14ac:dyDescent="0.25">
      <c r="A65" s="84" t="s">
        <v>55</v>
      </c>
      <c r="B65" s="85"/>
      <c r="C65" s="86"/>
      <c r="D65" s="87">
        <v>13500</v>
      </c>
      <c r="E65" s="88"/>
      <c r="F65" s="87">
        <f t="shared" si="4"/>
        <v>13500</v>
      </c>
      <c r="G65" s="89"/>
      <c r="H65" s="47"/>
      <c r="I65" s="90"/>
      <c r="J65" s="91"/>
      <c r="K65" s="92"/>
    </row>
    <row r="66" spans="1:11" s="3" customFormat="1" ht="57.75" customHeight="1" x14ac:dyDescent="0.25">
      <c r="A66" s="84" t="s">
        <v>56</v>
      </c>
      <c r="B66" s="85"/>
      <c r="C66" s="86"/>
      <c r="D66" s="87">
        <v>21792</v>
      </c>
      <c r="E66" s="88"/>
      <c r="F66" s="87">
        <f t="shared" si="4"/>
        <v>28329.599999999999</v>
      </c>
      <c r="G66" s="89"/>
      <c r="H66" s="47">
        <v>6537.6</v>
      </c>
      <c r="I66" s="90" t="s">
        <v>222</v>
      </c>
      <c r="J66" s="91"/>
      <c r="K66" s="92"/>
    </row>
    <row r="67" spans="1:11" s="3" customFormat="1" ht="32.25" customHeight="1" x14ac:dyDescent="0.25">
      <c r="A67" s="84" t="s">
        <v>114</v>
      </c>
      <c r="B67" s="85"/>
      <c r="C67" s="86"/>
      <c r="D67" s="87">
        <v>8000</v>
      </c>
      <c r="E67" s="88"/>
      <c r="F67" s="87">
        <f t="shared" si="4"/>
        <v>8000</v>
      </c>
      <c r="G67" s="89"/>
      <c r="H67" s="47"/>
      <c r="I67" s="90"/>
      <c r="J67" s="91"/>
      <c r="K67" s="92"/>
    </row>
    <row r="68" spans="1:11" s="3" customFormat="1" ht="66" customHeight="1" x14ac:dyDescent="0.25">
      <c r="A68" s="84" t="s">
        <v>163</v>
      </c>
      <c r="B68" s="85"/>
      <c r="C68" s="86"/>
      <c r="D68" s="87">
        <v>60900</v>
      </c>
      <c r="E68" s="88"/>
      <c r="F68" s="87">
        <f t="shared" si="4"/>
        <v>47300</v>
      </c>
      <c r="G68" s="89"/>
      <c r="H68" s="47">
        <v>-13600</v>
      </c>
      <c r="I68" s="90" t="s">
        <v>223</v>
      </c>
      <c r="J68" s="91"/>
      <c r="K68" s="92"/>
    </row>
    <row r="69" spans="1:11" s="3" customFormat="1" ht="44.25" customHeight="1" x14ac:dyDescent="0.25">
      <c r="A69" s="84" t="s">
        <v>142</v>
      </c>
      <c r="B69" s="85"/>
      <c r="C69" s="86"/>
      <c r="D69" s="87">
        <v>2755200</v>
      </c>
      <c r="E69" s="88"/>
      <c r="F69" s="87">
        <f t="shared" si="4"/>
        <v>2755200</v>
      </c>
      <c r="G69" s="89"/>
      <c r="H69" s="42"/>
      <c r="I69" s="90"/>
      <c r="J69" s="91"/>
      <c r="K69" s="92"/>
    </row>
    <row r="70" spans="1:11" ht="16.5" customHeight="1" x14ac:dyDescent="0.25">
      <c r="A70" s="51" t="s">
        <v>31</v>
      </c>
      <c r="B70" s="52"/>
      <c r="C70" s="53"/>
      <c r="D70" s="54">
        <f>D71</f>
        <v>5096</v>
      </c>
      <c r="E70" s="55"/>
      <c r="F70" s="54">
        <f t="shared" si="4"/>
        <v>3943.5699999999997</v>
      </c>
      <c r="G70" s="55"/>
      <c r="H70" s="39">
        <f>SUM(H71:H71)</f>
        <v>-1152.43</v>
      </c>
      <c r="I70" s="50"/>
      <c r="J70" s="50"/>
      <c r="K70" s="50"/>
    </row>
    <row r="71" spans="1:11" s="3" customFormat="1" ht="48.75" customHeight="1" x14ac:dyDescent="0.25">
      <c r="A71" s="84" t="s">
        <v>115</v>
      </c>
      <c r="B71" s="85"/>
      <c r="C71" s="86"/>
      <c r="D71" s="95">
        <v>5096</v>
      </c>
      <c r="E71" s="112"/>
      <c r="F71" s="95">
        <f t="shared" si="4"/>
        <v>3943.5699999999997</v>
      </c>
      <c r="G71" s="96"/>
      <c r="H71" s="42">
        <v>-1152.43</v>
      </c>
      <c r="I71" s="90" t="s">
        <v>216</v>
      </c>
      <c r="J71" s="91"/>
      <c r="K71" s="92"/>
    </row>
    <row r="72" spans="1:11" ht="16.5" customHeight="1" x14ac:dyDescent="0.25">
      <c r="A72" s="51" t="s">
        <v>63</v>
      </c>
      <c r="B72" s="52"/>
      <c r="C72" s="53"/>
      <c r="D72" s="54">
        <f>D73</f>
        <v>10300</v>
      </c>
      <c r="E72" s="55"/>
      <c r="F72" s="54">
        <f t="shared" si="4"/>
        <v>10300</v>
      </c>
      <c r="G72" s="55"/>
      <c r="H72" s="39">
        <f>SUM(H73:H73)</f>
        <v>0</v>
      </c>
      <c r="I72" s="50"/>
      <c r="J72" s="50"/>
      <c r="K72" s="50"/>
    </row>
    <row r="73" spans="1:11" s="3" customFormat="1" ht="18.75" customHeight="1" x14ac:dyDescent="0.25">
      <c r="A73" s="84" t="s">
        <v>121</v>
      </c>
      <c r="B73" s="85"/>
      <c r="C73" s="86"/>
      <c r="D73" s="95">
        <v>10300</v>
      </c>
      <c r="E73" s="112"/>
      <c r="F73" s="95">
        <f t="shared" si="4"/>
        <v>10300</v>
      </c>
      <c r="G73" s="96"/>
      <c r="H73" s="42"/>
      <c r="I73" s="90"/>
      <c r="J73" s="91"/>
      <c r="K73" s="92"/>
    </row>
    <row r="74" spans="1:11" ht="45.75" customHeight="1" x14ac:dyDescent="0.25">
      <c r="A74" s="172" t="s">
        <v>34</v>
      </c>
      <c r="B74" s="179"/>
      <c r="C74" s="180"/>
      <c r="D74" s="100">
        <v>0</v>
      </c>
      <c r="E74" s="181"/>
      <c r="F74" s="100">
        <f t="shared" si="4"/>
        <v>0</v>
      </c>
      <c r="G74" s="101"/>
      <c r="H74" s="45"/>
      <c r="I74" s="90"/>
      <c r="J74" s="91"/>
      <c r="K74" s="92"/>
    </row>
    <row r="75" spans="1:11" ht="32.25" customHeight="1" x14ac:dyDescent="0.25">
      <c r="A75" s="172" t="s">
        <v>39</v>
      </c>
      <c r="B75" s="173"/>
      <c r="C75" s="174"/>
      <c r="D75" s="54">
        <f>SUM(D76:E78)</f>
        <v>381120</v>
      </c>
      <c r="E75" s="187"/>
      <c r="F75" s="54">
        <f t="shared" si="4"/>
        <v>376521.2</v>
      </c>
      <c r="G75" s="55"/>
      <c r="H75" s="45">
        <f>H76+H77+H78</f>
        <v>-4598.8</v>
      </c>
      <c r="I75" s="102"/>
      <c r="J75" s="103"/>
      <c r="K75" s="104"/>
    </row>
    <row r="76" spans="1:11" s="3" customFormat="1" ht="27.75" customHeight="1" x14ac:dyDescent="0.25">
      <c r="A76" s="84" t="s">
        <v>83</v>
      </c>
      <c r="B76" s="85"/>
      <c r="C76" s="86"/>
      <c r="D76" s="95">
        <f>4*780</f>
        <v>3120</v>
      </c>
      <c r="E76" s="112"/>
      <c r="F76" s="95">
        <f t="shared" si="4"/>
        <v>460</v>
      </c>
      <c r="G76" s="113"/>
      <c r="H76" s="42">
        <v>-2660</v>
      </c>
      <c r="I76" s="239" t="s">
        <v>224</v>
      </c>
      <c r="J76" s="240"/>
      <c r="K76" s="241"/>
    </row>
    <row r="77" spans="1:11" s="3" customFormat="1" ht="25.5" customHeight="1" x14ac:dyDescent="0.25">
      <c r="A77" s="84" t="s">
        <v>82</v>
      </c>
      <c r="B77" s="85"/>
      <c r="C77" s="86"/>
      <c r="D77" s="95">
        <f>140*50</f>
        <v>7000</v>
      </c>
      <c r="E77" s="112"/>
      <c r="F77" s="95">
        <f t="shared" si="4"/>
        <v>5061.2</v>
      </c>
      <c r="G77" s="113"/>
      <c r="H77" s="42">
        <v>-1938.8</v>
      </c>
      <c r="I77" s="242"/>
      <c r="J77" s="243"/>
      <c r="K77" s="244"/>
    </row>
    <row r="78" spans="1:11" s="3" customFormat="1" ht="47.25" customHeight="1" x14ac:dyDescent="0.25">
      <c r="A78" s="84" t="s">
        <v>157</v>
      </c>
      <c r="B78" s="85"/>
      <c r="C78" s="86"/>
      <c r="D78" s="95">
        <v>371000</v>
      </c>
      <c r="E78" s="112"/>
      <c r="F78" s="95">
        <f t="shared" si="4"/>
        <v>371000</v>
      </c>
      <c r="G78" s="113"/>
      <c r="H78" s="42"/>
      <c r="I78" s="90"/>
      <c r="J78" s="91"/>
      <c r="K78" s="92"/>
    </row>
    <row r="79" spans="1:11" ht="27" customHeight="1" x14ac:dyDescent="0.25">
      <c r="A79" s="172" t="s">
        <v>38</v>
      </c>
      <c r="B79" s="179"/>
      <c r="C79" s="180"/>
      <c r="D79" s="54">
        <f>SUM(D80:E82)</f>
        <v>13800</v>
      </c>
      <c r="E79" s="55"/>
      <c r="F79" s="54">
        <f>SUM(F80:G82)</f>
        <v>13800</v>
      </c>
      <c r="G79" s="55"/>
      <c r="H79" s="45">
        <f>H82</f>
        <v>0</v>
      </c>
      <c r="I79" s="90"/>
      <c r="J79" s="91"/>
      <c r="K79" s="92"/>
    </row>
    <row r="80" spans="1:11" s="3" customFormat="1" ht="16.5" customHeight="1" x14ac:dyDescent="0.25">
      <c r="A80" s="84" t="s">
        <v>84</v>
      </c>
      <c r="B80" s="85"/>
      <c r="C80" s="86"/>
      <c r="D80" s="95">
        <f>4*2150</f>
        <v>8600</v>
      </c>
      <c r="E80" s="112"/>
      <c r="F80" s="95">
        <f>D80+H80</f>
        <v>8600</v>
      </c>
      <c r="G80" s="113"/>
      <c r="H80" s="42"/>
      <c r="I80" s="90"/>
      <c r="J80" s="91"/>
      <c r="K80" s="92"/>
    </row>
    <row r="81" spans="1:11" s="3" customFormat="1" ht="16.5" customHeight="1" x14ac:dyDescent="0.25">
      <c r="A81" s="84" t="s">
        <v>85</v>
      </c>
      <c r="B81" s="85"/>
      <c r="C81" s="86"/>
      <c r="D81" s="95">
        <f>30*120</f>
        <v>3600</v>
      </c>
      <c r="E81" s="112"/>
      <c r="F81" s="95">
        <f>D81+H81</f>
        <v>3600</v>
      </c>
      <c r="G81" s="113"/>
      <c r="H81" s="42"/>
      <c r="I81" s="90"/>
      <c r="J81" s="91"/>
      <c r="K81" s="92"/>
    </row>
    <row r="82" spans="1:11" s="3" customFormat="1" ht="16.5" customHeight="1" x14ac:dyDescent="0.25">
      <c r="A82" s="84" t="s">
        <v>153</v>
      </c>
      <c r="B82" s="85"/>
      <c r="C82" s="86"/>
      <c r="D82" s="95">
        <v>1600</v>
      </c>
      <c r="E82" s="112"/>
      <c r="F82" s="95">
        <f>D82+H82</f>
        <v>1600</v>
      </c>
      <c r="G82" s="113"/>
      <c r="H82" s="42"/>
      <c r="I82" s="90"/>
      <c r="J82" s="91"/>
      <c r="K82" s="92"/>
    </row>
    <row r="83" spans="1:11" ht="30.75" customHeight="1" x14ac:dyDescent="0.25">
      <c r="A83" s="172" t="s">
        <v>35</v>
      </c>
      <c r="B83" s="179"/>
      <c r="C83" s="180"/>
      <c r="D83" s="54">
        <f>SUM(D84:E85)</f>
        <v>33826.14</v>
      </c>
      <c r="E83" s="55"/>
      <c r="F83" s="54">
        <f>D83+H83</f>
        <v>21665.079999999998</v>
      </c>
      <c r="G83" s="55"/>
      <c r="H83" s="45">
        <f>H84+H85</f>
        <v>-12161.060000000001</v>
      </c>
      <c r="I83" s="90"/>
      <c r="J83" s="91"/>
      <c r="K83" s="92"/>
    </row>
    <row r="84" spans="1:11" s="3" customFormat="1" ht="95.25" customHeight="1" x14ac:dyDescent="0.25">
      <c r="A84" s="84" t="s">
        <v>86</v>
      </c>
      <c r="B84" s="85"/>
      <c r="C84" s="86"/>
      <c r="D84" s="95">
        <v>29276.14</v>
      </c>
      <c r="E84" s="112"/>
      <c r="F84" s="95">
        <f>D84+H84</f>
        <v>17115.079999999998</v>
      </c>
      <c r="G84" s="113"/>
      <c r="H84" s="47">
        <f>6838.78-12804.84-6195</f>
        <v>-12161.060000000001</v>
      </c>
      <c r="I84" s="90" t="s">
        <v>216</v>
      </c>
      <c r="J84" s="91"/>
      <c r="K84" s="92"/>
    </row>
    <row r="85" spans="1:11" s="3" customFormat="1" ht="104.25" customHeight="1" x14ac:dyDescent="0.25">
      <c r="A85" s="84" t="s">
        <v>92</v>
      </c>
      <c r="B85" s="85"/>
      <c r="C85" s="86"/>
      <c r="D85" s="95">
        <v>4550</v>
      </c>
      <c r="E85" s="112"/>
      <c r="F85" s="95">
        <f t="shared" ref="F85:F92" si="5">D85+H85</f>
        <v>4550</v>
      </c>
      <c r="G85" s="113"/>
      <c r="H85" s="47"/>
      <c r="I85" s="90"/>
      <c r="J85" s="91"/>
      <c r="K85" s="92"/>
    </row>
    <row r="86" spans="1:11" s="30" customFormat="1" ht="33" customHeight="1" x14ac:dyDescent="0.25">
      <c r="A86" s="105" t="s">
        <v>40</v>
      </c>
      <c r="B86" s="106"/>
      <c r="C86" s="107"/>
      <c r="D86" s="108">
        <f>D87+D88+D89+D90+D91+D92</f>
        <v>41480.660000000003</v>
      </c>
      <c r="E86" s="109"/>
      <c r="F86" s="108">
        <f t="shared" si="5"/>
        <v>0</v>
      </c>
      <c r="G86" s="109"/>
      <c r="H86" s="42">
        <f>SUM(H87:H92)</f>
        <v>-41480.660000000003</v>
      </c>
      <c r="I86" s="61"/>
      <c r="J86" s="110"/>
      <c r="K86" s="111"/>
    </row>
    <row r="87" spans="1:11" s="30" customFormat="1" ht="16.5" customHeight="1" x14ac:dyDescent="0.25">
      <c r="A87" s="67" t="s">
        <v>116</v>
      </c>
      <c r="B87" s="68"/>
      <c r="C87" s="69"/>
      <c r="D87" s="59">
        <v>8400</v>
      </c>
      <c r="E87" s="60"/>
      <c r="F87" s="59">
        <f t="shared" si="5"/>
        <v>0</v>
      </c>
      <c r="G87" s="60"/>
      <c r="H87" s="42">
        <v>-8400</v>
      </c>
      <c r="I87" s="206" t="s">
        <v>216</v>
      </c>
      <c r="J87" s="207"/>
      <c r="K87" s="208"/>
    </row>
    <row r="88" spans="1:11" s="30" customFormat="1" ht="16.5" customHeight="1" x14ac:dyDescent="0.25">
      <c r="A88" s="67" t="s">
        <v>117</v>
      </c>
      <c r="B88" s="93"/>
      <c r="C88" s="94"/>
      <c r="D88" s="59">
        <v>10080</v>
      </c>
      <c r="E88" s="60"/>
      <c r="F88" s="59">
        <f t="shared" si="5"/>
        <v>0</v>
      </c>
      <c r="G88" s="60"/>
      <c r="H88" s="42">
        <v>-10080</v>
      </c>
      <c r="I88" s="236"/>
      <c r="J88" s="237"/>
      <c r="K88" s="238"/>
    </row>
    <row r="89" spans="1:11" s="30" customFormat="1" ht="16.5" customHeight="1" x14ac:dyDescent="0.25">
      <c r="A89" s="67" t="s">
        <v>118</v>
      </c>
      <c r="B89" s="68"/>
      <c r="C89" s="69"/>
      <c r="D89" s="59">
        <v>13440</v>
      </c>
      <c r="E89" s="60"/>
      <c r="F89" s="59">
        <f t="shared" si="5"/>
        <v>0</v>
      </c>
      <c r="G89" s="60"/>
      <c r="H89" s="42">
        <v>-13440</v>
      </c>
      <c r="I89" s="236"/>
      <c r="J89" s="237"/>
      <c r="K89" s="238"/>
    </row>
    <row r="90" spans="1:11" s="30" customFormat="1" ht="16.5" customHeight="1" x14ac:dyDescent="0.25">
      <c r="A90" s="67" t="s">
        <v>119</v>
      </c>
      <c r="B90" s="68"/>
      <c r="C90" s="69"/>
      <c r="D90" s="59">
        <v>6720</v>
      </c>
      <c r="E90" s="60"/>
      <c r="F90" s="59">
        <f t="shared" si="5"/>
        <v>0</v>
      </c>
      <c r="G90" s="60"/>
      <c r="H90" s="42">
        <v>-6720</v>
      </c>
      <c r="I90" s="236"/>
      <c r="J90" s="237"/>
      <c r="K90" s="238"/>
    </row>
    <row r="91" spans="1:11" s="30" customFormat="1" ht="16.5" customHeight="1" x14ac:dyDescent="0.25">
      <c r="A91" s="67" t="s">
        <v>91</v>
      </c>
      <c r="B91" s="68"/>
      <c r="C91" s="69"/>
      <c r="D91" s="59">
        <v>800.66</v>
      </c>
      <c r="E91" s="60"/>
      <c r="F91" s="59">
        <f t="shared" si="5"/>
        <v>0</v>
      </c>
      <c r="G91" s="60"/>
      <c r="H91" s="42">
        <v>-800.66</v>
      </c>
      <c r="I91" s="236"/>
      <c r="J91" s="237"/>
      <c r="K91" s="238"/>
    </row>
    <row r="92" spans="1:11" s="30" customFormat="1" ht="49.5" customHeight="1" x14ac:dyDescent="0.25">
      <c r="A92" s="67" t="s">
        <v>120</v>
      </c>
      <c r="B92" s="68"/>
      <c r="C92" s="69"/>
      <c r="D92" s="59">
        <v>2040</v>
      </c>
      <c r="E92" s="60"/>
      <c r="F92" s="59">
        <f t="shared" si="5"/>
        <v>0</v>
      </c>
      <c r="G92" s="60"/>
      <c r="H92" s="42">
        <v>-2040</v>
      </c>
      <c r="I92" s="215"/>
      <c r="J92" s="216"/>
      <c r="K92" s="217"/>
    </row>
    <row r="93" spans="1:11" s="3" customFormat="1" x14ac:dyDescent="0.25">
      <c r="A93" s="64" t="s">
        <v>11</v>
      </c>
      <c r="B93" s="64"/>
      <c r="C93" s="64"/>
      <c r="D93" s="65">
        <f>D31+D32+D34+D39+D43+D55+D70+D72+D74+D75+D79+D83+D86</f>
        <v>10266198</v>
      </c>
      <c r="E93" s="66"/>
      <c r="F93" s="65">
        <f>F31+F32+F34+F39+F43+F55+F70+F72+F74+F75+F79+F83+F86+F33</f>
        <v>10198244.999999998</v>
      </c>
      <c r="G93" s="66"/>
      <c r="H93" s="38">
        <f>H31+H32+H33+H34+H39+H43+H55+H70+H72+H74+H75+H79+H83+H86</f>
        <v>-67953</v>
      </c>
      <c r="I93" s="50"/>
      <c r="J93" s="50"/>
      <c r="K93" s="50"/>
    </row>
    <row r="94" spans="1:11" s="3" customFormat="1" x14ac:dyDescent="0.25">
      <c r="A94" s="8"/>
      <c r="B94" s="8"/>
      <c r="C94" s="8"/>
      <c r="D94" s="9"/>
      <c r="E94" s="9"/>
      <c r="F94" s="9"/>
      <c r="G94" s="9"/>
      <c r="H94" s="9"/>
    </row>
    <row r="95" spans="1:11" ht="16.5" customHeight="1" x14ac:dyDescent="0.25">
      <c r="A95" s="76" t="s">
        <v>49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</row>
    <row r="97" spans="1:11" x14ac:dyDescent="0.25">
      <c r="A97" s="50"/>
      <c r="B97" s="50"/>
      <c r="C97" s="50"/>
      <c r="D97" s="71" t="s">
        <v>5</v>
      </c>
      <c r="E97" s="71"/>
      <c r="F97" s="71" t="s">
        <v>6</v>
      </c>
      <c r="G97" s="71"/>
      <c r="H97" s="24" t="s">
        <v>14</v>
      </c>
      <c r="I97" s="72" t="s">
        <v>13</v>
      </c>
      <c r="J97" s="73"/>
      <c r="K97" s="74"/>
    </row>
    <row r="98" spans="1:11" ht="27" customHeight="1" x14ac:dyDescent="0.25">
      <c r="A98" s="121" t="s">
        <v>15</v>
      </c>
      <c r="B98" s="121"/>
      <c r="C98" s="121"/>
      <c r="D98" s="54">
        <v>396215.05</v>
      </c>
      <c r="E98" s="55"/>
      <c r="F98" s="54">
        <f t="shared" ref="F98:F103" si="6">D98+H98</f>
        <v>396215.05</v>
      </c>
      <c r="G98" s="55"/>
      <c r="H98" s="45"/>
      <c r="I98" s="206"/>
      <c r="J98" s="207"/>
      <c r="K98" s="208"/>
    </row>
    <row r="99" spans="1:11" ht="27" customHeight="1" x14ac:dyDescent="0.25">
      <c r="A99" s="51" t="s">
        <v>16</v>
      </c>
      <c r="B99" s="52"/>
      <c r="C99" s="53"/>
      <c r="D99" s="54">
        <v>119656.95</v>
      </c>
      <c r="E99" s="55"/>
      <c r="F99" s="54">
        <f t="shared" si="6"/>
        <v>119656.95</v>
      </c>
      <c r="G99" s="55"/>
      <c r="H99" s="45"/>
      <c r="I99" s="215"/>
      <c r="J99" s="216"/>
      <c r="K99" s="217"/>
    </row>
    <row r="100" spans="1:11" ht="18" customHeight="1" x14ac:dyDescent="0.25">
      <c r="A100" s="51" t="s">
        <v>25</v>
      </c>
      <c r="B100" s="52"/>
      <c r="C100" s="53"/>
      <c r="D100" s="54">
        <f>SUM(D101:E102)</f>
        <v>32124.219999999998</v>
      </c>
      <c r="E100" s="187"/>
      <c r="F100" s="54">
        <f t="shared" si="6"/>
        <v>32124.219999999998</v>
      </c>
      <c r="G100" s="187"/>
      <c r="H100" s="39">
        <f>H101+H102</f>
        <v>0</v>
      </c>
      <c r="I100" s="97"/>
      <c r="J100" s="98"/>
      <c r="K100" s="99"/>
    </row>
    <row r="101" spans="1:11" ht="21" customHeight="1" x14ac:dyDescent="0.25">
      <c r="A101" s="84" t="s">
        <v>46</v>
      </c>
      <c r="B101" s="85"/>
      <c r="C101" s="86"/>
      <c r="D101" s="95">
        <v>30816.959999999999</v>
      </c>
      <c r="E101" s="112"/>
      <c r="F101" s="95">
        <f t="shared" si="6"/>
        <v>30816.959999999999</v>
      </c>
      <c r="G101" s="112"/>
      <c r="H101" s="42"/>
      <c r="I101" s="90"/>
      <c r="J101" s="91"/>
      <c r="K101" s="92"/>
    </row>
    <row r="102" spans="1:11" ht="21" customHeight="1" x14ac:dyDescent="0.25">
      <c r="A102" s="84" t="s">
        <v>24</v>
      </c>
      <c r="B102" s="85"/>
      <c r="C102" s="86"/>
      <c r="D102" s="95">
        <v>1307.26</v>
      </c>
      <c r="E102" s="112"/>
      <c r="F102" s="95">
        <f t="shared" si="6"/>
        <v>1307.26</v>
      </c>
      <c r="G102" s="112"/>
      <c r="H102" s="42"/>
      <c r="I102" s="90"/>
      <c r="J102" s="91"/>
      <c r="K102" s="92"/>
    </row>
    <row r="103" spans="1:11" ht="19.5" customHeight="1" x14ac:dyDescent="0.25">
      <c r="A103" s="51" t="s">
        <v>26</v>
      </c>
      <c r="B103" s="52"/>
      <c r="C103" s="53"/>
      <c r="D103" s="54">
        <v>15000</v>
      </c>
      <c r="E103" s="55"/>
      <c r="F103" s="54">
        <f t="shared" si="6"/>
        <v>15000</v>
      </c>
      <c r="G103" s="55"/>
      <c r="H103" s="45"/>
      <c r="I103" s="90"/>
      <c r="J103" s="91"/>
      <c r="K103" s="92"/>
    </row>
    <row r="104" spans="1:11" s="3" customFormat="1" ht="16.5" customHeight="1" x14ac:dyDescent="0.25">
      <c r="A104" s="51" t="s">
        <v>17</v>
      </c>
      <c r="B104" s="52"/>
      <c r="C104" s="53"/>
      <c r="D104" s="149">
        <v>44243</v>
      </c>
      <c r="E104" s="150"/>
      <c r="F104" s="149">
        <f>H104+D104</f>
        <v>44243</v>
      </c>
      <c r="G104" s="150"/>
      <c r="H104" s="39"/>
      <c r="I104" s="151"/>
      <c r="J104" s="151"/>
      <c r="K104" s="151"/>
    </row>
    <row r="105" spans="1:11" s="3" customFormat="1" ht="21.75" customHeight="1" x14ac:dyDescent="0.25">
      <c r="A105" s="67" t="s">
        <v>126</v>
      </c>
      <c r="B105" s="68"/>
      <c r="C105" s="69"/>
      <c r="D105" s="95">
        <v>44243</v>
      </c>
      <c r="E105" s="112"/>
      <c r="F105" s="95">
        <f>H105+D105</f>
        <v>44243</v>
      </c>
      <c r="G105" s="113"/>
      <c r="H105" s="42"/>
      <c r="I105" s="90"/>
      <c r="J105" s="91"/>
      <c r="K105" s="92"/>
    </row>
    <row r="106" spans="1:11" ht="18.75" customHeight="1" x14ac:dyDescent="0.25">
      <c r="A106" s="51" t="s">
        <v>19</v>
      </c>
      <c r="B106" s="52"/>
      <c r="C106" s="53"/>
      <c r="D106" s="54">
        <f>D107</f>
        <v>35032</v>
      </c>
      <c r="E106" s="55"/>
      <c r="F106" s="54">
        <f>F107</f>
        <v>35032</v>
      </c>
      <c r="G106" s="55"/>
      <c r="H106" s="13">
        <f>H107</f>
        <v>0</v>
      </c>
      <c r="I106" s="56"/>
      <c r="J106" s="57"/>
      <c r="K106" s="58"/>
    </row>
    <row r="107" spans="1:11" ht="36" customHeight="1" x14ac:dyDescent="0.25">
      <c r="A107" s="84" t="s">
        <v>196</v>
      </c>
      <c r="B107" s="152"/>
      <c r="C107" s="153"/>
      <c r="D107" s="95">
        <v>35032</v>
      </c>
      <c r="E107" s="113"/>
      <c r="F107" s="95">
        <f t="shared" ref="F107" si="7">D107+H107</f>
        <v>35032</v>
      </c>
      <c r="G107" s="113"/>
      <c r="H107" s="15"/>
      <c r="I107" s="90"/>
      <c r="J107" s="91"/>
      <c r="K107" s="92"/>
    </row>
    <row r="108" spans="1:11" ht="16.5" customHeight="1" x14ac:dyDescent="0.25">
      <c r="A108" s="51" t="s">
        <v>20</v>
      </c>
      <c r="B108" s="52"/>
      <c r="C108" s="53"/>
      <c r="D108" s="54">
        <f>SUM(D109:E116)</f>
        <v>146192</v>
      </c>
      <c r="E108" s="55"/>
      <c r="F108" s="54">
        <f>D108+H108</f>
        <v>146192</v>
      </c>
      <c r="G108" s="55"/>
      <c r="H108" s="39">
        <f>SUM(H109:H116)</f>
        <v>0</v>
      </c>
      <c r="I108" s="50"/>
      <c r="J108" s="50"/>
      <c r="K108" s="50"/>
    </row>
    <row r="109" spans="1:11" s="3" customFormat="1" ht="21" customHeight="1" x14ac:dyDescent="0.25">
      <c r="A109" s="84" t="s">
        <v>93</v>
      </c>
      <c r="B109" s="85"/>
      <c r="C109" s="86"/>
      <c r="D109" s="95">
        <v>60900</v>
      </c>
      <c r="E109" s="112"/>
      <c r="F109" s="95">
        <f t="shared" ref="F109:F124" si="8">D109+H109</f>
        <v>60900</v>
      </c>
      <c r="G109" s="96"/>
      <c r="H109" s="47"/>
      <c r="I109" s="90"/>
      <c r="J109" s="91"/>
      <c r="K109" s="92"/>
    </row>
    <row r="110" spans="1:11" s="3" customFormat="1" ht="19.5" customHeight="1" x14ac:dyDescent="0.25">
      <c r="A110" s="84" t="s">
        <v>104</v>
      </c>
      <c r="B110" s="85"/>
      <c r="C110" s="86"/>
      <c r="D110" s="95">
        <v>24000</v>
      </c>
      <c r="E110" s="112"/>
      <c r="F110" s="95">
        <f t="shared" si="8"/>
        <v>24000</v>
      </c>
      <c r="G110" s="96"/>
      <c r="H110" s="42"/>
      <c r="I110" s="90"/>
      <c r="J110" s="91"/>
      <c r="K110" s="92"/>
    </row>
    <row r="111" spans="1:11" s="3" customFormat="1" ht="21" customHeight="1" x14ac:dyDescent="0.25">
      <c r="A111" s="84" t="s">
        <v>169</v>
      </c>
      <c r="B111" s="85"/>
      <c r="C111" s="86"/>
      <c r="D111" s="95">
        <v>12600</v>
      </c>
      <c r="E111" s="112"/>
      <c r="F111" s="95">
        <f t="shared" si="8"/>
        <v>12600</v>
      </c>
      <c r="G111" s="96"/>
      <c r="H111" s="42"/>
      <c r="I111" s="90"/>
      <c r="J111" s="91"/>
      <c r="K111" s="92"/>
    </row>
    <row r="112" spans="1:11" s="3" customFormat="1" ht="23.25" customHeight="1" x14ac:dyDescent="0.25">
      <c r="A112" s="84" t="s">
        <v>170</v>
      </c>
      <c r="B112" s="85"/>
      <c r="C112" s="86"/>
      <c r="D112" s="95">
        <v>6000</v>
      </c>
      <c r="E112" s="112"/>
      <c r="F112" s="95">
        <f t="shared" si="8"/>
        <v>6000</v>
      </c>
      <c r="G112" s="96"/>
      <c r="H112" s="42"/>
      <c r="I112" s="90"/>
      <c r="J112" s="91"/>
      <c r="K112" s="92"/>
    </row>
    <row r="113" spans="1:11" s="3" customFormat="1" ht="20.25" customHeight="1" x14ac:dyDescent="0.25">
      <c r="A113" s="84" t="s">
        <v>171</v>
      </c>
      <c r="B113" s="85"/>
      <c r="C113" s="86"/>
      <c r="D113" s="95">
        <v>1500</v>
      </c>
      <c r="E113" s="112"/>
      <c r="F113" s="95">
        <f t="shared" si="8"/>
        <v>1500</v>
      </c>
      <c r="G113" s="96"/>
      <c r="H113" s="42"/>
      <c r="I113" s="90"/>
      <c r="J113" s="91"/>
      <c r="K113" s="92"/>
    </row>
    <row r="114" spans="1:11" s="3" customFormat="1" ht="21" customHeight="1" x14ac:dyDescent="0.25">
      <c r="A114" s="84" t="s">
        <v>172</v>
      </c>
      <c r="B114" s="85"/>
      <c r="C114" s="86"/>
      <c r="D114" s="95">
        <v>11800</v>
      </c>
      <c r="E114" s="112"/>
      <c r="F114" s="95">
        <f t="shared" si="8"/>
        <v>11800</v>
      </c>
      <c r="G114" s="96"/>
      <c r="H114" s="42"/>
      <c r="I114" s="90"/>
      <c r="J114" s="91"/>
      <c r="K114" s="92"/>
    </row>
    <row r="115" spans="1:11" s="3" customFormat="1" ht="21" customHeight="1" x14ac:dyDescent="0.25">
      <c r="A115" s="84" t="s">
        <v>173</v>
      </c>
      <c r="B115" s="85"/>
      <c r="C115" s="86"/>
      <c r="D115" s="95">
        <v>21792</v>
      </c>
      <c r="E115" s="112"/>
      <c r="F115" s="95">
        <f t="shared" si="8"/>
        <v>21792</v>
      </c>
      <c r="G115" s="96"/>
      <c r="H115" s="42"/>
      <c r="I115" s="90"/>
      <c r="J115" s="91"/>
      <c r="K115" s="92"/>
    </row>
    <row r="116" spans="1:11" s="3" customFormat="1" ht="27" customHeight="1" x14ac:dyDescent="0.25">
      <c r="A116" s="84" t="s">
        <v>174</v>
      </c>
      <c r="B116" s="85"/>
      <c r="C116" s="86"/>
      <c r="D116" s="95">
        <v>7600</v>
      </c>
      <c r="E116" s="112"/>
      <c r="F116" s="95">
        <f t="shared" si="8"/>
        <v>7600</v>
      </c>
      <c r="G116" s="96"/>
      <c r="H116" s="42"/>
      <c r="I116" s="90"/>
      <c r="J116" s="91"/>
      <c r="K116" s="92"/>
    </row>
    <row r="117" spans="1:11" ht="16.5" customHeight="1" x14ac:dyDescent="0.25">
      <c r="A117" s="51" t="s">
        <v>31</v>
      </c>
      <c r="B117" s="52"/>
      <c r="C117" s="53"/>
      <c r="D117" s="54">
        <f>D118</f>
        <v>1152.43</v>
      </c>
      <c r="E117" s="55"/>
      <c r="F117" s="54">
        <f t="shared" si="8"/>
        <v>1152.43</v>
      </c>
      <c r="G117" s="55"/>
      <c r="H117" s="39">
        <f>SUM(H118:H118)</f>
        <v>0</v>
      </c>
      <c r="I117" s="50"/>
      <c r="J117" s="50"/>
      <c r="K117" s="50"/>
    </row>
    <row r="118" spans="1:11" s="3" customFormat="1" ht="21" customHeight="1" x14ac:dyDescent="0.25">
      <c r="A118" s="84" t="s">
        <v>115</v>
      </c>
      <c r="B118" s="85"/>
      <c r="C118" s="86"/>
      <c r="D118" s="95">
        <v>1152.43</v>
      </c>
      <c r="E118" s="112"/>
      <c r="F118" s="95">
        <f t="shared" si="8"/>
        <v>1152.43</v>
      </c>
      <c r="G118" s="96"/>
      <c r="H118" s="42"/>
      <c r="I118" s="90"/>
      <c r="J118" s="91"/>
      <c r="K118" s="92"/>
    </row>
    <row r="119" spans="1:11" ht="16.5" customHeight="1" x14ac:dyDescent="0.25">
      <c r="A119" s="51" t="s">
        <v>63</v>
      </c>
      <c r="B119" s="52"/>
      <c r="C119" s="53"/>
      <c r="D119" s="54">
        <f>D120+D121+D122</f>
        <v>29624</v>
      </c>
      <c r="E119" s="55"/>
      <c r="F119" s="54">
        <f>SUM(F120:G122)</f>
        <v>29624</v>
      </c>
      <c r="G119" s="55"/>
      <c r="H119" s="39">
        <f>SUM(H120:H122)</f>
        <v>0</v>
      </c>
      <c r="I119" s="50"/>
      <c r="J119" s="50"/>
      <c r="K119" s="50"/>
    </row>
    <row r="120" spans="1:11" s="3" customFormat="1" ht="21" customHeight="1" x14ac:dyDescent="0.25">
      <c r="A120" s="84" t="s">
        <v>175</v>
      </c>
      <c r="B120" s="85"/>
      <c r="C120" s="86"/>
      <c r="D120" s="95">
        <v>12005</v>
      </c>
      <c r="E120" s="112"/>
      <c r="F120" s="95">
        <f t="shared" si="8"/>
        <v>12005</v>
      </c>
      <c r="G120" s="96"/>
      <c r="H120" s="42"/>
      <c r="I120" s="90"/>
      <c r="J120" s="91"/>
      <c r="K120" s="92"/>
    </row>
    <row r="121" spans="1:11" s="3" customFormat="1" ht="21" customHeight="1" x14ac:dyDescent="0.25">
      <c r="A121" s="84" t="s">
        <v>197</v>
      </c>
      <c r="B121" s="85"/>
      <c r="C121" s="86"/>
      <c r="D121" s="95">
        <v>7304</v>
      </c>
      <c r="E121" s="112"/>
      <c r="F121" s="95">
        <f t="shared" si="8"/>
        <v>7304</v>
      </c>
      <c r="G121" s="96"/>
      <c r="H121" s="42"/>
      <c r="I121" s="251"/>
      <c r="J121" s="252"/>
      <c r="K121" s="253"/>
    </row>
    <row r="122" spans="1:11" s="3" customFormat="1" ht="21" customHeight="1" x14ac:dyDescent="0.25">
      <c r="A122" s="84" t="s">
        <v>198</v>
      </c>
      <c r="B122" s="85"/>
      <c r="C122" s="86"/>
      <c r="D122" s="95">
        <v>10315</v>
      </c>
      <c r="E122" s="112"/>
      <c r="F122" s="95">
        <f t="shared" si="8"/>
        <v>10315</v>
      </c>
      <c r="G122" s="96"/>
      <c r="H122" s="42"/>
      <c r="I122" s="215"/>
      <c r="J122" s="216"/>
      <c r="K122" s="217"/>
    </row>
    <row r="123" spans="1:11" ht="32.25" customHeight="1" x14ac:dyDescent="0.25">
      <c r="A123" s="172" t="s">
        <v>39</v>
      </c>
      <c r="B123" s="173"/>
      <c r="C123" s="174"/>
      <c r="D123" s="100">
        <f>D124</f>
        <v>23100</v>
      </c>
      <c r="E123" s="175"/>
      <c r="F123" s="100">
        <f t="shared" si="8"/>
        <v>23100</v>
      </c>
      <c r="G123" s="101"/>
      <c r="H123" s="45">
        <f>H124</f>
        <v>0</v>
      </c>
      <c r="I123" s="102"/>
      <c r="J123" s="103"/>
      <c r="K123" s="104"/>
    </row>
    <row r="124" spans="1:11" s="3" customFormat="1" ht="21" customHeight="1" x14ac:dyDescent="0.25">
      <c r="A124" s="84" t="s">
        <v>94</v>
      </c>
      <c r="B124" s="85"/>
      <c r="C124" s="86"/>
      <c r="D124" s="95">
        <v>23100</v>
      </c>
      <c r="E124" s="112"/>
      <c r="F124" s="95">
        <f t="shared" si="8"/>
        <v>23100</v>
      </c>
      <c r="G124" s="113"/>
      <c r="H124" s="42"/>
      <c r="I124" s="262"/>
      <c r="J124" s="143"/>
      <c r="K124" s="144"/>
    </row>
    <row r="125" spans="1:11" ht="27" customHeight="1" x14ac:dyDescent="0.25">
      <c r="A125" s="172" t="s">
        <v>38</v>
      </c>
      <c r="B125" s="179"/>
      <c r="C125" s="180"/>
      <c r="D125" s="54">
        <f>SUM(D126:E130)</f>
        <v>62725</v>
      </c>
      <c r="E125" s="55"/>
      <c r="F125" s="54">
        <f>SUM(F126:G130)</f>
        <v>62725</v>
      </c>
      <c r="G125" s="55"/>
      <c r="H125" s="45">
        <f>H130</f>
        <v>0</v>
      </c>
      <c r="I125" s="90"/>
      <c r="J125" s="91"/>
      <c r="K125" s="92"/>
    </row>
    <row r="126" spans="1:11" s="3" customFormat="1" ht="21" customHeight="1" x14ac:dyDescent="0.25">
      <c r="A126" s="84" t="s">
        <v>176</v>
      </c>
      <c r="B126" s="85"/>
      <c r="C126" s="86"/>
      <c r="D126" s="95">
        <v>10000</v>
      </c>
      <c r="E126" s="112"/>
      <c r="F126" s="95">
        <f>D126+H126</f>
        <v>10000</v>
      </c>
      <c r="G126" s="113"/>
      <c r="H126" s="42"/>
      <c r="I126" s="90"/>
      <c r="J126" s="91"/>
      <c r="K126" s="92"/>
    </row>
    <row r="127" spans="1:11" s="3" customFormat="1" ht="21" customHeight="1" x14ac:dyDescent="0.25">
      <c r="A127" s="84" t="s">
        <v>177</v>
      </c>
      <c r="B127" s="85"/>
      <c r="C127" s="86"/>
      <c r="D127" s="95">
        <v>6400</v>
      </c>
      <c r="E127" s="112"/>
      <c r="F127" s="95">
        <f>D127+H127</f>
        <v>6400</v>
      </c>
      <c r="G127" s="113"/>
      <c r="H127" s="42"/>
      <c r="I127" s="90"/>
      <c r="J127" s="91"/>
      <c r="K127" s="92"/>
    </row>
    <row r="128" spans="1:11" s="3" customFormat="1" ht="21" customHeight="1" x14ac:dyDescent="0.25">
      <c r="A128" s="84" t="s">
        <v>178</v>
      </c>
      <c r="B128" s="85"/>
      <c r="C128" s="86"/>
      <c r="D128" s="95">
        <v>900</v>
      </c>
      <c r="E128" s="112"/>
      <c r="F128" s="95">
        <f>D128+H128</f>
        <v>900</v>
      </c>
      <c r="G128" s="113"/>
      <c r="H128" s="42"/>
      <c r="I128" s="90"/>
      <c r="J128" s="91"/>
      <c r="K128" s="92"/>
    </row>
    <row r="129" spans="1:11" s="3" customFormat="1" ht="21" customHeight="1" x14ac:dyDescent="0.25">
      <c r="A129" s="84" t="s">
        <v>179</v>
      </c>
      <c r="B129" s="85"/>
      <c r="C129" s="86"/>
      <c r="D129" s="95">
        <v>17600</v>
      </c>
      <c r="E129" s="112"/>
      <c r="F129" s="95">
        <f>D129+H129</f>
        <v>17600</v>
      </c>
      <c r="G129" s="113"/>
      <c r="H129" s="42"/>
      <c r="I129" s="90"/>
      <c r="J129" s="91"/>
      <c r="K129" s="92"/>
    </row>
    <row r="130" spans="1:11" s="3" customFormat="1" ht="27" customHeight="1" x14ac:dyDescent="0.25">
      <c r="A130" s="84" t="s">
        <v>199</v>
      </c>
      <c r="B130" s="85"/>
      <c r="C130" s="86"/>
      <c r="D130" s="95">
        <v>27825</v>
      </c>
      <c r="E130" s="112"/>
      <c r="F130" s="95">
        <f>D130+H130</f>
        <v>27825</v>
      </c>
      <c r="G130" s="113"/>
      <c r="H130" s="42"/>
      <c r="I130" s="90"/>
      <c r="J130" s="91"/>
      <c r="K130" s="92"/>
    </row>
    <row r="131" spans="1:11" ht="34.5" customHeight="1" x14ac:dyDescent="0.25">
      <c r="A131" s="172" t="s">
        <v>35</v>
      </c>
      <c r="B131" s="179"/>
      <c r="C131" s="180"/>
      <c r="D131" s="54">
        <f>D132</f>
        <v>80695.350000000006</v>
      </c>
      <c r="E131" s="55"/>
      <c r="F131" s="54">
        <f>F132</f>
        <v>80695.350000000006</v>
      </c>
      <c r="G131" s="55"/>
      <c r="H131" s="45"/>
      <c r="I131" s="90"/>
      <c r="J131" s="91"/>
      <c r="K131" s="92"/>
    </row>
    <row r="132" spans="1:11" s="3" customFormat="1" ht="87.75" customHeight="1" x14ac:dyDescent="0.25">
      <c r="A132" s="67" t="s">
        <v>205</v>
      </c>
      <c r="B132" s="68"/>
      <c r="C132" s="69"/>
      <c r="D132" s="95">
        <v>80695.350000000006</v>
      </c>
      <c r="E132" s="112"/>
      <c r="F132" s="95">
        <f>D132+H132</f>
        <v>80695.350000000006</v>
      </c>
      <c r="G132" s="113"/>
      <c r="H132" s="42"/>
      <c r="I132" s="90"/>
      <c r="J132" s="91"/>
      <c r="K132" s="92"/>
    </row>
    <row r="133" spans="1:11" s="30" customFormat="1" ht="25.5" customHeight="1" x14ac:dyDescent="0.25">
      <c r="A133" s="105" t="s">
        <v>40</v>
      </c>
      <c r="B133" s="106"/>
      <c r="C133" s="107"/>
      <c r="D133" s="108">
        <f>D134+D135+D136+D137+D138+D139</f>
        <v>41480.660000000003</v>
      </c>
      <c r="E133" s="109"/>
      <c r="F133" s="108">
        <f t="shared" ref="F133:F139" si="9">D133+H133</f>
        <v>41480.660000000003</v>
      </c>
      <c r="G133" s="109"/>
      <c r="H133" s="42">
        <f>SUM(H134:H139)</f>
        <v>0</v>
      </c>
      <c r="I133" s="61"/>
      <c r="J133" s="110"/>
      <c r="K133" s="111"/>
    </row>
    <row r="134" spans="1:11" s="30" customFormat="1" ht="18.75" customHeight="1" x14ac:dyDescent="0.25">
      <c r="A134" s="67" t="s">
        <v>116</v>
      </c>
      <c r="B134" s="68"/>
      <c r="C134" s="69"/>
      <c r="D134" s="59">
        <v>8400</v>
      </c>
      <c r="E134" s="60"/>
      <c r="F134" s="59">
        <f t="shared" si="9"/>
        <v>8400</v>
      </c>
      <c r="G134" s="60"/>
      <c r="H134" s="42"/>
      <c r="I134" s="206"/>
      <c r="J134" s="263"/>
      <c r="K134" s="264"/>
    </row>
    <row r="135" spans="1:11" s="30" customFormat="1" ht="19.5" customHeight="1" x14ac:dyDescent="0.25">
      <c r="A135" s="67" t="s">
        <v>117</v>
      </c>
      <c r="B135" s="93"/>
      <c r="C135" s="94"/>
      <c r="D135" s="59">
        <v>10080</v>
      </c>
      <c r="E135" s="60"/>
      <c r="F135" s="59">
        <f t="shared" si="9"/>
        <v>10080</v>
      </c>
      <c r="G135" s="60"/>
      <c r="H135" s="42"/>
      <c r="I135" s="265"/>
      <c r="J135" s="266"/>
      <c r="K135" s="267"/>
    </row>
    <row r="136" spans="1:11" s="30" customFormat="1" ht="18" customHeight="1" x14ac:dyDescent="0.25">
      <c r="A136" s="67" t="s">
        <v>118</v>
      </c>
      <c r="B136" s="68"/>
      <c r="C136" s="69"/>
      <c r="D136" s="59">
        <v>13440</v>
      </c>
      <c r="E136" s="60"/>
      <c r="F136" s="59">
        <f t="shared" si="9"/>
        <v>13440</v>
      </c>
      <c r="G136" s="60"/>
      <c r="H136" s="42"/>
      <c r="I136" s="265"/>
      <c r="J136" s="266"/>
      <c r="K136" s="267"/>
    </row>
    <row r="137" spans="1:11" s="30" customFormat="1" ht="15.75" customHeight="1" x14ac:dyDescent="0.25">
      <c r="A137" s="67" t="s">
        <v>119</v>
      </c>
      <c r="B137" s="68"/>
      <c r="C137" s="69"/>
      <c r="D137" s="59">
        <v>6720</v>
      </c>
      <c r="E137" s="60"/>
      <c r="F137" s="59">
        <f t="shared" si="9"/>
        <v>6720</v>
      </c>
      <c r="G137" s="60"/>
      <c r="H137" s="42"/>
      <c r="I137" s="265"/>
      <c r="J137" s="266"/>
      <c r="K137" s="267"/>
    </row>
    <row r="138" spans="1:11" s="30" customFormat="1" ht="18" customHeight="1" x14ac:dyDescent="0.25">
      <c r="A138" s="67" t="s">
        <v>91</v>
      </c>
      <c r="B138" s="68"/>
      <c r="C138" s="69"/>
      <c r="D138" s="59">
        <v>800.66</v>
      </c>
      <c r="E138" s="60"/>
      <c r="F138" s="59">
        <f t="shared" si="9"/>
        <v>800.66</v>
      </c>
      <c r="G138" s="60"/>
      <c r="H138" s="42"/>
      <c r="I138" s="265"/>
      <c r="J138" s="266"/>
      <c r="K138" s="267"/>
    </row>
    <row r="139" spans="1:11" s="30" customFormat="1" ht="19.5" customHeight="1" x14ac:dyDescent="0.25">
      <c r="A139" s="67" t="s">
        <v>120</v>
      </c>
      <c r="B139" s="68"/>
      <c r="C139" s="69"/>
      <c r="D139" s="59">
        <v>2040</v>
      </c>
      <c r="E139" s="60"/>
      <c r="F139" s="59">
        <f t="shared" si="9"/>
        <v>2040</v>
      </c>
      <c r="G139" s="60"/>
      <c r="H139" s="42"/>
      <c r="I139" s="268"/>
      <c r="J139" s="269"/>
      <c r="K139" s="270"/>
    </row>
    <row r="140" spans="1:11" x14ac:dyDescent="0.25">
      <c r="A140" s="64" t="s">
        <v>11</v>
      </c>
      <c r="B140" s="64"/>
      <c r="C140" s="64"/>
      <c r="D140" s="65">
        <f>D98+D99+D100+D103+D104+D106+D108+D117+D119+D123+D125+D131+D133</f>
        <v>1027240.66</v>
      </c>
      <c r="E140" s="66"/>
      <c r="F140" s="65">
        <f>F98+F99+F100+F103+F104+F106+F108+F117+F119+F123+F125+F131+F133</f>
        <v>1027240.66</v>
      </c>
      <c r="G140" s="66"/>
      <c r="H140" s="38">
        <f>H98+H99+H100+H103+H104+H106+H108+H117+H119+H123+H125+H131+H133</f>
        <v>0</v>
      </c>
      <c r="I140" s="50"/>
      <c r="J140" s="50"/>
      <c r="K140" s="50"/>
    </row>
    <row r="141" spans="1:11" ht="12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 x14ac:dyDescent="0.25">
      <c r="A142" s="75" t="s">
        <v>50</v>
      </c>
      <c r="B142" s="75"/>
      <c r="C142" s="75"/>
      <c r="D142" s="75"/>
      <c r="E142" s="75"/>
      <c r="F142" s="75"/>
      <c r="G142" s="75"/>
      <c r="H142" s="75"/>
      <c r="I142" s="75"/>
      <c r="J142" s="75"/>
      <c r="K142" s="75"/>
    </row>
    <row r="143" spans="1:11" ht="8.25" customHeight="1" x14ac:dyDescent="0.2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</row>
    <row r="144" spans="1:11" x14ac:dyDescent="0.25">
      <c r="A144" s="50"/>
      <c r="B144" s="50"/>
      <c r="C144" s="50"/>
      <c r="D144" s="71" t="s">
        <v>5</v>
      </c>
      <c r="E144" s="71"/>
      <c r="F144" s="71" t="s">
        <v>6</v>
      </c>
      <c r="G144" s="71"/>
      <c r="H144" s="24" t="s">
        <v>14</v>
      </c>
      <c r="I144" s="72" t="s">
        <v>13</v>
      </c>
      <c r="J144" s="73"/>
      <c r="K144" s="74"/>
    </row>
    <row r="145" spans="1:11" ht="18.75" customHeight="1" x14ac:dyDescent="0.25">
      <c r="A145" s="51" t="s">
        <v>19</v>
      </c>
      <c r="B145" s="52"/>
      <c r="C145" s="53"/>
      <c r="D145" s="54">
        <f>SUM(D146:E150)</f>
        <v>1340730</v>
      </c>
      <c r="E145" s="55"/>
      <c r="F145" s="54">
        <f>F146+F147+F148+F149+F150</f>
        <v>1340730</v>
      </c>
      <c r="G145" s="55"/>
      <c r="H145" s="13"/>
      <c r="I145" s="56"/>
      <c r="J145" s="57"/>
      <c r="K145" s="58"/>
    </row>
    <row r="146" spans="1:11" ht="30" customHeight="1" x14ac:dyDescent="0.25">
      <c r="A146" s="84" t="s">
        <v>95</v>
      </c>
      <c r="B146" s="152"/>
      <c r="C146" s="153"/>
      <c r="D146" s="95">
        <v>208263.4</v>
      </c>
      <c r="E146" s="113"/>
      <c r="F146" s="95">
        <f t="shared" ref="F146" si="10">D146+H146</f>
        <v>208263.4</v>
      </c>
      <c r="G146" s="113"/>
      <c r="H146" s="15"/>
      <c r="I146" s="167"/>
      <c r="J146" s="168"/>
      <c r="K146" s="169"/>
    </row>
    <row r="147" spans="1:11" ht="30" customHeight="1" x14ac:dyDescent="0.25">
      <c r="A147" s="84" t="s">
        <v>96</v>
      </c>
      <c r="B147" s="170"/>
      <c r="C147" s="171"/>
      <c r="D147" s="95">
        <v>0</v>
      </c>
      <c r="E147" s="112"/>
      <c r="F147" s="95">
        <f>D147+H147</f>
        <v>0</v>
      </c>
      <c r="G147" s="112"/>
      <c r="H147" s="15"/>
      <c r="I147" s="167"/>
      <c r="J147" s="168"/>
      <c r="K147" s="169"/>
    </row>
    <row r="148" spans="1:11" ht="30" customHeight="1" x14ac:dyDescent="0.25">
      <c r="A148" s="84" t="s">
        <v>150</v>
      </c>
      <c r="B148" s="170"/>
      <c r="C148" s="171"/>
      <c r="D148" s="95">
        <v>99743</v>
      </c>
      <c r="E148" s="112"/>
      <c r="F148" s="95">
        <f>D148+H148</f>
        <v>99743</v>
      </c>
      <c r="G148" s="112"/>
      <c r="H148" s="15"/>
      <c r="I148" s="167"/>
      <c r="J148" s="168"/>
      <c r="K148" s="169"/>
    </row>
    <row r="149" spans="1:11" ht="21" customHeight="1" x14ac:dyDescent="0.25">
      <c r="A149" s="84" t="s">
        <v>106</v>
      </c>
      <c r="B149" s="170"/>
      <c r="C149" s="171"/>
      <c r="D149" s="95">
        <v>547343.31999999995</v>
      </c>
      <c r="E149" s="112"/>
      <c r="F149" s="95">
        <f>D149+H149</f>
        <v>547343.31999999995</v>
      </c>
      <c r="G149" s="112"/>
      <c r="H149" s="15"/>
      <c r="I149" s="56"/>
      <c r="J149" s="57"/>
      <c r="K149" s="58"/>
    </row>
    <row r="150" spans="1:11" ht="24.75" customHeight="1" x14ac:dyDescent="0.25">
      <c r="A150" s="84" t="s">
        <v>151</v>
      </c>
      <c r="B150" s="170"/>
      <c r="C150" s="171"/>
      <c r="D150" s="95">
        <v>485380.28</v>
      </c>
      <c r="E150" s="112"/>
      <c r="F150" s="95">
        <f>D150+H150</f>
        <v>485380.28</v>
      </c>
      <c r="G150" s="112"/>
      <c r="H150" s="15"/>
      <c r="I150" s="56"/>
      <c r="J150" s="57"/>
      <c r="K150" s="58"/>
    </row>
    <row r="151" spans="1:11" x14ac:dyDescent="0.25">
      <c r="A151" s="64" t="s">
        <v>11</v>
      </c>
      <c r="B151" s="64"/>
      <c r="C151" s="64"/>
      <c r="D151" s="65">
        <f>D145</f>
        <v>1340730</v>
      </c>
      <c r="E151" s="66"/>
      <c r="F151" s="65">
        <f>F145</f>
        <v>1340730</v>
      </c>
      <c r="G151" s="66"/>
      <c r="H151" s="28"/>
      <c r="I151" s="50"/>
      <c r="J151" s="50"/>
      <c r="K151" s="50"/>
    </row>
    <row r="152" spans="1:11" ht="45" customHeight="1" x14ac:dyDescent="0.25">
      <c r="A152" s="166" t="s">
        <v>27</v>
      </c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</row>
    <row r="153" spans="1:11" ht="30.75" customHeight="1" x14ac:dyDescent="0.25">
      <c r="A153" s="166" t="s">
        <v>97</v>
      </c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</row>
    <row r="154" spans="1:11" ht="20.2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 ht="20.2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 ht="15" customHeight="1" x14ac:dyDescent="0.25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</row>
    <row r="157" spans="1:11" ht="134.25" customHeight="1" x14ac:dyDescent="0.25">
      <c r="A157" s="189" t="s">
        <v>110</v>
      </c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</row>
    <row r="158" spans="1:11" x14ac:dyDescent="0.25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</row>
    <row r="159" spans="1:11" x14ac:dyDescent="0.25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</row>
    <row r="160" spans="1:11" x14ac:dyDescent="0.25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</row>
    <row r="161" spans="1:11" x14ac:dyDescent="0.25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</row>
    <row r="162" spans="1:11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</row>
    <row r="163" spans="1:11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</row>
    <row r="164" spans="1:11" x14ac:dyDescent="0.25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</row>
    <row r="165" spans="1:11" x14ac:dyDescent="0.2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</row>
    <row r="166" spans="1:11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</row>
  </sheetData>
  <mergeCells count="507"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20:C20"/>
    <mergeCell ref="D20:E20"/>
    <mergeCell ref="F20:G20"/>
    <mergeCell ref="H20:J20"/>
    <mergeCell ref="A21:C21"/>
    <mergeCell ref="D21:E21"/>
    <mergeCell ref="F21:G21"/>
    <mergeCell ref="H21:J21"/>
    <mergeCell ref="A14:J14"/>
    <mergeCell ref="A16:J16"/>
    <mergeCell ref="A17:J17"/>
    <mergeCell ref="A19:C19"/>
    <mergeCell ref="D19:E19"/>
    <mergeCell ref="F19:G19"/>
    <mergeCell ref="H19:J19"/>
    <mergeCell ref="A24:C24"/>
    <mergeCell ref="D24:E24"/>
    <mergeCell ref="F24:G24"/>
    <mergeCell ref="H24:J24"/>
    <mergeCell ref="A26:J26"/>
    <mergeCell ref="A28:J28"/>
    <mergeCell ref="A22:C22"/>
    <mergeCell ref="D22:E22"/>
    <mergeCell ref="F22:G22"/>
    <mergeCell ref="H22:J22"/>
    <mergeCell ref="A23:C23"/>
    <mergeCell ref="D23:E23"/>
    <mergeCell ref="F23:G23"/>
    <mergeCell ref="H23:J23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F32:G32"/>
    <mergeCell ref="A34:C34"/>
    <mergeCell ref="D34:E34"/>
    <mergeCell ref="F34:G34"/>
    <mergeCell ref="I34:K34"/>
    <mergeCell ref="A35:C35"/>
    <mergeCell ref="D35:E35"/>
    <mergeCell ref="F35:G35"/>
    <mergeCell ref="I35:K35"/>
    <mergeCell ref="A33:C33"/>
    <mergeCell ref="D33:E33"/>
    <mergeCell ref="F33:G33"/>
    <mergeCell ref="I33:K33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A77:C77"/>
    <mergeCell ref="D77:E77"/>
    <mergeCell ref="F77:G77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84:C84"/>
    <mergeCell ref="D84:E84"/>
    <mergeCell ref="F84:G84"/>
    <mergeCell ref="I84:K84"/>
    <mergeCell ref="A85:C85"/>
    <mergeCell ref="D85:E85"/>
    <mergeCell ref="F85:G85"/>
    <mergeCell ref="I85:K85"/>
    <mergeCell ref="I87:K92"/>
    <mergeCell ref="F88:G88"/>
    <mergeCell ref="A89:C89"/>
    <mergeCell ref="D89:E89"/>
    <mergeCell ref="F89:G89"/>
    <mergeCell ref="A90:C90"/>
    <mergeCell ref="D90:E90"/>
    <mergeCell ref="F90:G90"/>
    <mergeCell ref="A86:C86"/>
    <mergeCell ref="D86:E86"/>
    <mergeCell ref="F86:G86"/>
    <mergeCell ref="I86:K86"/>
    <mergeCell ref="A87:C87"/>
    <mergeCell ref="D87:E87"/>
    <mergeCell ref="F87:G87"/>
    <mergeCell ref="A88:C88"/>
    <mergeCell ref="D88:E88"/>
    <mergeCell ref="A97:C97"/>
    <mergeCell ref="D97:E97"/>
    <mergeCell ref="F97:G97"/>
    <mergeCell ref="I97:K97"/>
    <mergeCell ref="A98:C98"/>
    <mergeCell ref="D98:E98"/>
    <mergeCell ref="F98:G98"/>
    <mergeCell ref="I98:K99"/>
    <mergeCell ref="A99:C99"/>
    <mergeCell ref="D99:E99"/>
    <mergeCell ref="A93:C93"/>
    <mergeCell ref="D93:E93"/>
    <mergeCell ref="F93:G93"/>
    <mergeCell ref="I93:K93"/>
    <mergeCell ref="A95:K95"/>
    <mergeCell ref="A91:C91"/>
    <mergeCell ref="D91:E91"/>
    <mergeCell ref="F91:G91"/>
    <mergeCell ref="A92:C92"/>
    <mergeCell ref="D92:E92"/>
    <mergeCell ref="F92:G92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F99:G99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6:C116"/>
    <mergeCell ref="D116:E116"/>
    <mergeCell ref="F116:G116"/>
    <mergeCell ref="I116:K116"/>
    <mergeCell ref="A119:C119"/>
    <mergeCell ref="D119:E119"/>
    <mergeCell ref="F119:G119"/>
    <mergeCell ref="I119:K119"/>
    <mergeCell ref="A118:C118"/>
    <mergeCell ref="D118:E118"/>
    <mergeCell ref="I118:K118"/>
    <mergeCell ref="A123:C123"/>
    <mergeCell ref="D123:E123"/>
    <mergeCell ref="F123:G123"/>
    <mergeCell ref="I123:K123"/>
    <mergeCell ref="A122:C122"/>
    <mergeCell ref="D122:E122"/>
    <mergeCell ref="F122:G122"/>
    <mergeCell ref="A120:C120"/>
    <mergeCell ref="D120:E120"/>
    <mergeCell ref="F120:G120"/>
    <mergeCell ref="I120:K120"/>
    <mergeCell ref="A121:C121"/>
    <mergeCell ref="D121:E121"/>
    <mergeCell ref="F121:G121"/>
    <mergeCell ref="I121:K122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D140:E140"/>
    <mergeCell ref="F140:G140"/>
    <mergeCell ref="I140:K140"/>
    <mergeCell ref="A134:C134"/>
    <mergeCell ref="D134:E134"/>
    <mergeCell ref="A133:C133"/>
    <mergeCell ref="D133:E133"/>
    <mergeCell ref="F133:G133"/>
    <mergeCell ref="I133:K133"/>
    <mergeCell ref="F137:G137"/>
    <mergeCell ref="A138:C138"/>
    <mergeCell ref="D138:E138"/>
    <mergeCell ref="F138:G138"/>
    <mergeCell ref="A139:C139"/>
    <mergeCell ref="D139:E139"/>
    <mergeCell ref="F139:G139"/>
    <mergeCell ref="F134:G134"/>
    <mergeCell ref="I134:K139"/>
    <mergeCell ref="A135:C135"/>
    <mergeCell ref="D135:E135"/>
    <mergeCell ref="F135:G135"/>
    <mergeCell ref="A136:C136"/>
    <mergeCell ref="D136:E136"/>
    <mergeCell ref="A165:K165"/>
    <mergeCell ref="A166:K166"/>
    <mergeCell ref="A117:C117"/>
    <mergeCell ref="D117:E117"/>
    <mergeCell ref="F117:G117"/>
    <mergeCell ref="I117:K117"/>
    <mergeCell ref="A156:K156"/>
    <mergeCell ref="A157:K157"/>
    <mergeCell ref="A158:K158"/>
    <mergeCell ref="A159:K159"/>
    <mergeCell ref="A160:K160"/>
    <mergeCell ref="A161:K161"/>
    <mergeCell ref="A151:C151"/>
    <mergeCell ref="D151:E151"/>
    <mergeCell ref="F151:G151"/>
    <mergeCell ref="I151:K151"/>
    <mergeCell ref="A152:K152"/>
    <mergeCell ref="A153:K153"/>
    <mergeCell ref="A149:C149"/>
    <mergeCell ref="D149:E149"/>
    <mergeCell ref="F149:G149"/>
    <mergeCell ref="I149:K149"/>
    <mergeCell ref="A150:C150"/>
    <mergeCell ref="F118:G118"/>
    <mergeCell ref="A163:K163"/>
    <mergeCell ref="A164:K164"/>
    <mergeCell ref="D150:E150"/>
    <mergeCell ref="F150:G150"/>
    <mergeCell ref="I150:K150"/>
    <mergeCell ref="A147:C147"/>
    <mergeCell ref="D147:E147"/>
    <mergeCell ref="F147:G147"/>
    <mergeCell ref="I147:K147"/>
    <mergeCell ref="A148:C148"/>
    <mergeCell ref="D148:E148"/>
    <mergeCell ref="F148:G148"/>
    <mergeCell ref="I148:K148"/>
    <mergeCell ref="F136:G136"/>
    <mergeCell ref="A137:C137"/>
    <mergeCell ref="D137:E137"/>
    <mergeCell ref="I76:K77"/>
    <mergeCell ref="A162:K162"/>
    <mergeCell ref="A146:C146"/>
    <mergeCell ref="D146:E146"/>
    <mergeCell ref="F146:G146"/>
    <mergeCell ref="I146:K146"/>
    <mergeCell ref="A142:K142"/>
    <mergeCell ref="A143:K143"/>
    <mergeCell ref="A144:C144"/>
    <mergeCell ref="D144:E144"/>
    <mergeCell ref="F144:G144"/>
    <mergeCell ref="I144:K144"/>
    <mergeCell ref="A145:C145"/>
    <mergeCell ref="D145:E145"/>
    <mergeCell ref="F145:G145"/>
    <mergeCell ref="I145:K145"/>
    <mergeCell ref="A132:C132"/>
    <mergeCell ref="D132:E132"/>
    <mergeCell ref="F132:G132"/>
    <mergeCell ref="I132:K132"/>
    <mergeCell ref="A140:C140"/>
  </mergeCells>
  <pageMargins left="0.31496062992125984" right="0" top="0.59055118110236227" bottom="0.59055118110236227" header="0.31496062992125984" footer="0.31496062992125984"/>
  <pageSetup paperSize="9" scale="77" fitToHeight="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71"/>
  <sheetViews>
    <sheetView topLeftCell="A75" workbookViewId="0">
      <selection activeCell="A157" sqref="A157:K157"/>
    </sheetView>
  </sheetViews>
  <sheetFormatPr defaultRowHeight="15" x14ac:dyDescent="0.25"/>
  <cols>
    <col min="1" max="1" width="15.140625" customWidth="1"/>
    <col min="2" max="2" width="14.28515625" customWidth="1"/>
    <col min="3" max="3" width="17.5703125" customWidth="1"/>
    <col min="4" max="4" width="10" bestFit="1" customWidth="1"/>
    <col min="5" max="5" width="9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0" ht="15.75" x14ac:dyDescent="0.25">
      <c r="A1" s="1"/>
    </row>
    <row r="2" spans="1:10" ht="15.75" x14ac:dyDescent="0.25">
      <c r="A2" s="114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114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114" t="s">
        <v>2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5.75" x14ac:dyDescent="0.25">
      <c r="A5" s="114"/>
      <c r="B5" s="70"/>
      <c r="C5" s="70"/>
      <c r="D5" s="70"/>
      <c r="E5" s="70"/>
      <c r="F5" s="70"/>
      <c r="G5" s="70"/>
      <c r="H5" s="70"/>
      <c r="I5" s="70"/>
    </row>
    <row r="6" spans="1:10" x14ac:dyDescent="0.25">
      <c r="A6" s="223" t="s">
        <v>237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10" ht="15.75" x14ac:dyDescent="0.25">
      <c r="A7" s="114"/>
      <c r="B7" s="70"/>
      <c r="C7" s="70"/>
      <c r="D7" s="70"/>
      <c r="E7" s="70"/>
      <c r="F7" s="70"/>
      <c r="G7" s="70"/>
      <c r="H7" s="70"/>
      <c r="I7" s="70"/>
      <c r="J7" s="70"/>
    </row>
    <row r="8" spans="1:10" ht="46.5" customHeight="1" x14ac:dyDescent="0.25">
      <c r="A8" s="129" t="s">
        <v>3</v>
      </c>
      <c r="B8" s="130"/>
      <c r="C8" s="130"/>
      <c r="D8" s="130"/>
      <c r="E8" s="130"/>
      <c r="F8" s="130"/>
      <c r="G8" s="130"/>
      <c r="H8" s="130"/>
      <c r="I8" s="130"/>
      <c r="J8" s="70"/>
    </row>
    <row r="9" spans="1:10" ht="7.5" customHeight="1" x14ac:dyDescent="0.25">
      <c r="A9" s="114"/>
      <c r="B9" s="70"/>
      <c r="C9" s="70"/>
      <c r="D9" s="70"/>
      <c r="E9" s="70"/>
      <c r="F9" s="70"/>
      <c r="G9" s="70"/>
      <c r="H9" s="70"/>
      <c r="I9" s="70"/>
    </row>
    <row r="10" spans="1:10" ht="137.25" customHeight="1" x14ac:dyDescent="0.3">
      <c r="A10" s="194" t="s">
        <v>149</v>
      </c>
      <c r="B10" s="195"/>
      <c r="C10" s="195"/>
      <c r="D10" s="195"/>
      <c r="E10" s="195"/>
      <c r="F10" s="195"/>
      <c r="G10" s="195"/>
      <c r="H10" s="195"/>
      <c r="I10" s="195"/>
      <c r="J10" s="19"/>
    </row>
    <row r="11" spans="1:10" ht="18" customHeight="1" x14ac:dyDescent="0.25">
      <c r="A11" s="126" t="s">
        <v>125</v>
      </c>
      <c r="B11" s="127"/>
      <c r="C11" s="127"/>
      <c r="D11" s="127"/>
      <c r="E11" s="127"/>
      <c r="F11" s="127"/>
      <c r="G11" s="127"/>
      <c r="H11" s="127"/>
      <c r="I11" s="127"/>
      <c r="J11" s="128"/>
    </row>
    <row r="12" spans="1:10" ht="49.5" customHeight="1" x14ac:dyDescent="0.25">
      <c r="A12" s="126" t="s">
        <v>234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ht="15.75" x14ac:dyDescent="0.25">
      <c r="A13" s="131" t="s">
        <v>30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ht="50.25" customHeight="1" x14ac:dyDescent="0.25">
      <c r="A14" s="203" t="s">
        <v>195</v>
      </c>
      <c r="B14" s="130"/>
      <c r="C14" s="130"/>
      <c r="D14" s="130"/>
      <c r="E14" s="130"/>
      <c r="F14" s="130"/>
      <c r="G14" s="130"/>
      <c r="H14" s="130"/>
      <c r="I14" s="130"/>
      <c r="J14" s="70"/>
    </row>
    <row r="15" spans="1:10" ht="12.7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15.75" x14ac:dyDescent="0.25">
      <c r="A16" s="114" t="s">
        <v>4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1" ht="15.75" x14ac:dyDescent="0.25">
      <c r="A17" s="115" t="s">
        <v>235</v>
      </c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1" ht="15.75" x14ac:dyDescent="0.25">
      <c r="A18" s="2"/>
    </row>
    <row r="19" spans="1:11" ht="15.75" x14ac:dyDescent="0.25">
      <c r="A19" s="117"/>
      <c r="B19" s="118"/>
      <c r="C19" s="118"/>
      <c r="D19" s="71" t="s">
        <v>21</v>
      </c>
      <c r="E19" s="71"/>
      <c r="F19" s="71" t="s">
        <v>6</v>
      </c>
      <c r="G19" s="71"/>
      <c r="H19" s="117" t="s">
        <v>14</v>
      </c>
      <c r="I19" s="71"/>
      <c r="J19" s="71"/>
    </row>
    <row r="20" spans="1:11" ht="30" customHeight="1" x14ac:dyDescent="0.25">
      <c r="A20" s="137" t="s">
        <v>7</v>
      </c>
      <c r="B20" s="138"/>
      <c r="C20" s="138"/>
      <c r="D20" s="139">
        <v>10198245</v>
      </c>
      <c r="E20" s="139"/>
      <c r="F20" s="139">
        <f>D20+H20</f>
        <v>10373291</v>
      </c>
      <c r="G20" s="139"/>
      <c r="H20" s="222">
        <v>175046</v>
      </c>
      <c r="I20" s="222"/>
      <c r="J20" s="222"/>
    </row>
    <row r="21" spans="1:11" x14ac:dyDescent="0.25">
      <c r="A21" s="137" t="s">
        <v>8</v>
      </c>
      <c r="B21" s="138"/>
      <c r="C21" s="138"/>
      <c r="D21" s="139">
        <f>308006.4+537000+495723.6</f>
        <v>1340730</v>
      </c>
      <c r="E21" s="139"/>
      <c r="F21" s="139">
        <f t="shared" ref="F21:F23" si="0">D21+H21</f>
        <v>1340730</v>
      </c>
      <c r="G21" s="139"/>
      <c r="H21" s="222"/>
      <c r="I21" s="222"/>
      <c r="J21" s="222"/>
    </row>
    <row r="22" spans="1:11" x14ac:dyDescent="0.25">
      <c r="A22" s="137" t="s">
        <v>9</v>
      </c>
      <c r="B22" s="138"/>
      <c r="C22" s="138"/>
      <c r="D22" s="139">
        <v>0</v>
      </c>
      <c r="E22" s="139"/>
      <c r="F22" s="139">
        <f t="shared" si="0"/>
        <v>0</v>
      </c>
      <c r="G22" s="139"/>
      <c r="H22" s="222"/>
      <c r="I22" s="222"/>
      <c r="J22" s="222"/>
    </row>
    <row r="23" spans="1:11" ht="30" customHeight="1" x14ac:dyDescent="0.25">
      <c r="A23" s="142" t="s">
        <v>10</v>
      </c>
      <c r="B23" s="143"/>
      <c r="C23" s="144"/>
      <c r="D23" s="139">
        <v>1027240.66</v>
      </c>
      <c r="E23" s="139"/>
      <c r="F23" s="204">
        <f t="shared" si="0"/>
        <v>1027240.66</v>
      </c>
      <c r="G23" s="204"/>
      <c r="H23" s="222"/>
      <c r="I23" s="222"/>
      <c r="J23" s="222"/>
    </row>
    <row r="24" spans="1:11" ht="15.75" x14ac:dyDescent="0.25">
      <c r="A24" s="117" t="s">
        <v>11</v>
      </c>
      <c r="B24" s="145"/>
      <c r="C24" s="145"/>
      <c r="D24" s="133">
        <f>D20+D21+D22+D23</f>
        <v>12566215.66</v>
      </c>
      <c r="E24" s="133"/>
      <c r="F24" s="133">
        <f>SUM(F20:G23)</f>
        <v>12741261.66</v>
      </c>
      <c r="G24" s="133"/>
      <c r="H24" s="225">
        <f>H20+H21+H22+H23</f>
        <v>175046</v>
      </c>
      <c r="I24" s="226"/>
      <c r="J24" s="226"/>
    </row>
    <row r="25" spans="1:11" ht="15.75" x14ac:dyDescent="0.25">
      <c r="A25" s="16"/>
      <c r="B25" s="17"/>
      <c r="C25" s="17"/>
      <c r="D25" s="31"/>
      <c r="E25" s="31"/>
      <c r="F25" s="31"/>
      <c r="G25" s="31"/>
      <c r="H25" s="18"/>
      <c r="I25" s="9"/>
      <c r="J25" s="9"/>
    </row>
    <row r="26" spans="1:11" ht="15.75" x14ac:dyDescent="0.25">
      <c r="A26" s="115" t="s">
        <v>236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8" spans="1:11" x14ac:dyDescent="0.25">
      <c r="A28" s="136" t="s">
        <v>12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1" ht="10.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1" s="3" customFormat="1" x14ac:dyDescent="0.25">
      <c r="A30" s="50"/>
      <c r="B30" s="50"/>
      <c r="C30" s="50"/>
      <c r="D30" s="71" t="s">
        <v>21</v>
      </c>
      <c r="E30" s="71"/>
      <c r="F30" s="71" t="s">
        <v>6</v>
      </c>
      <c r="G30" s="71"/>
      <c r="H30" s="24" t="s">
        <v>14</v>
      </c>
      <c r="I30" s="72" t="s">
        <v>13</v>
      </c>
      <c r="J30" s="73"/>
      <c r="K30" s="74"/>
    </row>
    <row r="31" spans="1:11" s="3" customFormat="1" ht="23.25" customHeight="1" x14ac:dyDescent="0.25">
      <c r="A31" s="121" t="s">
        <v>15</v>
      </c>
      <c r="B31" s="121"/>
      <c r="C31" s="121"/>
      <c r="D31" s="54">
        <v>4097242.76</v>
      </c>
      <c r="E31" s="55"/>
      <c r="F31" s="54">
        <f t="shared" ref="F31:F38" si="1">D31+H31</f>
        <v>4099551.86</v>
      </c>
      <c r="G31" s="55"/>
      <c r="H31" s="48">
        <v>2309.1</v>
      </c>
      <c r="I31" s="206" t="s">
        <v>206</v>
      </c>
      <c r="J31" s="207"/>
      <c r="K31" s="208"/>
    </row>
    <row r="32" spans="1:11" s="3" customFormat="1" ht="28.5" customHeight="1" x14ac:dyDescent="0.25">
      <c r="A32" s="51" t="s">
        <v>16</v>
      </c>
      <c r="B32" s="52"/>
      <c r="C32" s="53"/>
      <c r="D32" s="119">
        <v>1237367.3</v>
      </c>
      <c r="E32" s="120"/>
      <c r="F32" s="54">
        <f t="shared" si="1"/>
        <v>1238064.6500000001</v>
      </c>
      <c r="G32" s="55"/>
      <c r="H32" s="48">
        <v>697.35</v>
      </c>
      <c r="I32" s="215"/>
      <c r="J32" s="216"/>
      <c r="K32" s="217"/>
    </row>
    <row r="33" spans="1:11" s="3" customFormat="1" ht="46.5" customHeight="1" x14ac:dyDescent="0.25">
      <c r="A33" s="51" t="s">
        <v>213</v>
      </c>
      <c r="B33" s="52"/>
      <c r="C33" s="53"/>
      <c r="D33" s="119">
        <v>5000</v>
      </c>
      <c r="E33" s="120"/>
      <c r="F33" s="54">
        <f t="shared" si="1"/>
        <v>1867.83</v>
      </c>
      <c r="G33" s="55"/>
      <c r="H33" s="48">
        <v>-3132.17</v>
      </c>
      <c r="I33" s="90" t="s">
        <v>229</v>
      </c>
      <c r="J33" s="275"/>
      <c r="K33" s="276"/>
    </row>
    <row r="34" spans="1:11" s="3" customFormat="1" ht="16.5" customHeight="1" x14ac:dyDescent="0.25">
      <c r="A34" s="121" t="s">
        <v>18</v>
      </c>
      <c r="B34" s="121"/>
      <c r="C34" s="121"/>
      <c r="D34" s="54">
        <f>SUM(D35:E38)</f>
        <v>21024.720000000001</v>
      </c>
      <c r="E34" s="55"/>
      <c r="F34" s="54">
        <f t="shared" si="1"/>
        <v>21024.720000000001</v>
      </c>
      <c r="G34" s="55"/>
      <c r="H34" s="26">
        <f>SUM(H35:H38)</f>
        <v>0</v>
      </c>
      <c r="I34" s="97"/>
      <c r="J34" s="273"/>
      <c r="K34" s="274"/>
    </row>
    <row r="35" spans="1:11" s="3" customFormat="1" ht="16.5" customHeight="1" x14ac:dyDescent="0.25">
      <c r="A35" s="154" t="s">
        <v>41</v>
      </c>
      <c r="B35" s="155"/>
      <c r="C35" s="96"/>
      <c r="D35" s="95">
        <v>14400</v>
      </c>
      <c r="E35" s="112"/>
      <c r="F35" s="95">
        <f t="shared" si="1"/>
        <v>14400</v>
      </c>
      <c r="G35" s="113"/>
      <c r="H35" s="10"/>
      <c r="I35" s="90"/>
      <c r="J35" s="275"/>
      <c r="K35" s="276"/>
    </row>
    <row r="36" spans="1:11" s="3" customFormat="1" ht="18.75" customHeight="1" x14ac:dyDescent="0.25">
      <c r="A36" s="154" t="s">
        <v>202</v>
      </c>
      <c r="B36" s="155"/>
      <c r="C36" s="96"/>
      <c r="D36" s="95">
        <v>3340.8</v>
      </c>
      <c r="E36" s="112"/>
      <c r="F36" s="95">
        <f t="shared" si="1"/>
        <v>3340.8</v>
      </c>
      <c r="G36" s="113"/>
      <c r="H36" s="10"/>
      <c r="I36" s="262"/>
      <c r="J36" s="271"/>
      <c r="K36" s="272"/>
    </row>
    <row r="37" spans="1:11" s="3" customFormat="1" ht="16.5" customHeight="1" x14ac:dyDescent="0.25">
      <c r="A37" s="84" t="s">
        <v>68</v>
      </c>
      <c r="B37" s="152"/>
      <c r="C37" s="153"/>
      <c r="D37" s="95">
        <v>277.2</v>
      </c>
      <c r="E37" s="112"/>
      <c r="F37" s="95">
        <f t="shared" si="1"/>
        <v>277.2</v>
      </c>
      <c r="G37" s="113"/>
      <c r="H37" s="10"/>
      <c r="I37" s="90"/>
      <c r="J37" s="91"/>
      <c r="K37" s="92"/>
    </row>
    <row r="38" spans="1:11" s="3" customFormat="1" ht="33" customHeight="1" x14ac:dyDescent="0.25">
      <c r="A38" s="84" t="s">
        <v>218</v>
      </c>
      <c r="B38" s="152"/>
      <c r="C38" s="153"/>
      <c r="D38" s="95">
        <v>3006.72</v>
      </c>
      <c r="E38" s="112"/>
      <c r="F38" s="95">
        <f t="shared" si="1"/>
        <v>3006.72</v>
      </c>
      <c r="G38" s="113"/>
      <c r="H38" s="10"/>
      <c r="I38" s="262"/>
      <c r="J38" s="271"/>
      <c r="K38" s="272"/>
    </row>
    <row r="39" spans="1:11" s="3" customFormat="1" ht="16.5" customHeight="1" x14ac:dyDescent="0.25">
      <c r="A39" s="51" t="s">
        <v>17</v>
      </c>
      <c r="B39" s="52"/>
      <c r="C39" s="53"/>
      <c r="D39" s="149">
        <f>SUM(D40:E42)</f>
        <v>672257.64</v>
      </c>
      <c r="E39" s="150"/>
      <c r="F39" s="149">
        <f>H39+D39</f>
        <v>672257.64</v>
      </c>
      <c r="G39" s="150"/>
      <c r="H39" s="39">
        <f>SUM(H40:H42)</f>
        <v>0</v>
      </c>
      <c r="I39" s="151"/>
      <c r="J39" s="151"/>
      <c r="K39" s="151"/>
    </row>
    <row r="40" spans="1:11" s="3" customFormat="1" ht="23.25" customHeight="1" x14ac:dyDescent="0.25">
      <c r="A40" s="84" t="s">
        <v>158</v>
      </c>
      <c r="B40" s="85"/>
      <c r="C40" s="86"/>
      <c r="D40" s="95">
        <v>642804.4</v>
      </c>
      <c r="E40" s="112"/>
      <c r="F40" s="95">
        <f>H40+D40</f>
        <v>642804.4</v>
      </c>
      <c r="G40" s="113"/>
      <c r="H40" s="45"/>
      <c r="I40" s="90"/>
      <c r="J40" s="91"/>
      <c r="K40" s="92"/>
    </row>
    <row r="41" spans="1:11" s="3" customFormat="1" ht="22.5" customHeight="1" x14ac:dyDescent="0.25">
      <c r="A41" s="84" t="s">
        <v>203</v>
      </c>
      <c r="B41" s="85"/>
      <c r="C41" s="86"/>
      <c r="D41" s="95">
        <v>8445.44</v>
      </c>
      <c r="E41" s="112"/>
      <c r="F41" s="95">
        <f>H41+D41</f>
        <v>8445.44</v>
      </c>
      <c r="G41" s="113"/>
      <c r="H41" s="42"/>
      <c r="I41" s="262"/>
      <c r="J41" s="271"/>
      <c r="K41" s="272"/>
    </row>
    <row r="42" spans="1:11" s="3" customFormat="1" ht="34.5" customHeight="1" x14ac:dyDescent="0.25">
      <c r="A42" s="84" t="s">
        <v>72</v>
      </c>
      <c r="B42" s="85"/>
      <c r="C42" s="86"/>
      <c r="D42" s="95">
        <v>21007.8</v>
      </c>
      <c r="E42" s="112"/>
      <c r="F42" s="95">
        <f>H42+D42</f>
        <v>21007.8</v>
      </c>
      <c r="G42" s="113"/>
      <c r="H42" s="42"/>
      <c r="I42" s="90"/>
      <c r="J42" s="91"/>
      <c r="K42" s="92"/>
    </row>
    <row r="43" spans="1:11" s="3" customFormat="1" ht="19.5" customHeight="1" x14ac:dyDescent="0.25">
      <c r="A43" s="51" t="s">
        <v>19</v>
      </c>
      <c r="B43" s="52"/>
      <c r="C43" s="53"/>
      <c r="D43" s="149">
        <f>SUM(D44:E54)</f>
        <v>389162.25</v>
      </c>
      <c r="E43" s="150"/>
      <c r="F43" s="149">
        <f>D43+H43</f>
        <v>389162.25</v>
      </c>
      <c r="G43" s="150"/>
      <c r="H43" s="39">
        <f>SUM(H45:H54)</f>
        <v>0</v>
      </c>
      <c r="I43" s="122"/>
      <c r="J43" s="123"/>
      <c r="K43" s="124"/>
    </row>
    <row r="44" spans="1:11" s="3" customFormat="1" ht="65.25" customHeight="1" x14ac:dyDescent="0.25">
      <c r="A44" s="84" t="s">
        <v>74</v>
      </c>
      <c r="B44" s="85"/>
      <c r="C44" s="86"/>
      <c r="D44" s="59">
        <f>20000+3*10000+15000</f>
        <v>65000</v>
      </c>
      <c r="E44" s="60"/>
      <c r="F44" s="95">
        <f t="shared" ref="F44:F54" si="2">D44+H44</f>
        <v>65000</v>
      </c>
      <c r="G44" s="113"/>
      <c r="H44" s="40"/>
      <c r="I44" s="90"/>
      <c r="J44" s="91"/>
      <c r="K44" s="92"/>
    </row>
    <row r="45" spans="1:11" s="3" customFormat="1" ht="72" customHeight="1" x14ac:dyDescent="0.25">
      <c r="A45" s="84" t="s">
        <v>159</v>
      </c>
      <c r="B45" s="85"/>
      <c r="C45" s="86"/>
      <c r="D45" s="59">
        <v>35250</v>
      </c>
      <c r="E45" s="60"/>
      <c r="F45" s="95">
        <f t="shared" si="2"/>
        <v>35250</v>
      </c>
      <c r="G45" s="113"/>
      <c r="H45" s="42"/>
      <c r="I45" s="90"/>
      <c r="J45" s="91"/>
      <c r="K45" s="92"/>
    </row>
    <row r="46" spans="1:11" s="3" customFormat="1" ht="24" customHeight="1" x14ac:dyDescent="0.25">
      <c r="A46" s="84" t="s">
        <v>22</v>
      </c>
      <c r="B46" s="85"/>
      <c r="C46" s="86"/>
      <c r="D46" s="59">
        <v>1400</v>
      </c>
      <c r="E46" s="60"/>
      <c r="F46" s="95">
        <f t="shared" si="2"/>
        <v>1400</v>
      </c>
      <c r="G46" s="113"/>
      <c r="H46" s="42"/>
      <c r="I46" s="90"/>
      <c r="J46" s="91"/>
      <c r="K46" s="92"/>
    </row>
    <row r="47" spans="1:11" s="3" customFormat="1" ht="51.75" customHeight="1" x14ac:dyDescent="0.25">
      <c r="A47" s="84" t="s">
        <v>36</v>
      </c>
      <c r="B47" s="85"/>
      <c r="C47" s="86"/>
      <c r="D47" s="59">
        <f>62042.4+120339.85</f>
        <v>182382.25</v>
      </c>
      <c r="E47" s="60"/>
      <c r="F47" s="95">
        <f t="shared" si="2"/>
        <v>182382.25</v>
      </c>
      <c r="G47" s="113"/>
      <c r="H47" s="41"/>
      <c r="I47" s="156"/>
      <c r="J47" s="157"/>
      <c r="K47" s="158"/>
    </row>
    <row r="48" spans="1:11" s="3" customFormat="1" ht="23.25" customHeight="1" x14ac:dyDescent="0.25">
      <c r="A48" s="84" t="s">
        <v>219</v>
      </c>
      <c r="B48" s="85"/>
      <c r="C48" s="86"/>
      <c r="D48" s="59">
        <v>58290</v>
      </c>
      <c r="E48" s="60"/>
      <c r="F48" s="95">
        <f t="shared" si="2"/>
        <v>58290</v>
      </c>
      <c r="G48" s="113"/>
      <c r="H48" s="42"/>
      <c r="I48" s="90"/>
      <c r="J48" s="91"/>
      <c r="K48" s="92"/>
    </row>
    <row r="49" spans="1:11" s="3" customFormat="1" ht="16.5" customHeight="1" x14ac:dyDescent="0.25">
      <c r="A49" s="84" t="s">
        <v>102</v>
      </c>
      <c r="B49" s="85"/>
      <c r="C49" s="86"/>
      <c r="D49" s="59">
        <v>13440</v>
      </c>
      <c r="E49" s="60"/>
      <c r="F49" s="95">
        <f t="shared" si="2"/>
        <v>13440</v>
      </c>
      <c r="G49" s="113"/>
      <c r="H49" s="42"/>
      <c r="I49" s="90"/>
      <c r="J49" s="91"/>
      <c r="K49" s="92"/>
    </row>
    <row r="50" spans="1:11" s="3" customFormat="1" ht="37.5" customHeight="1" x14ac:dyDescent="0.25">
      <c r="A50" s="84" t="s">
        <v>51</v>
      </c>
      <c r="B50" s="85"/>
      <c r="C50" s="86"/>
      <c r="D50" s="59">
        <v>9000</v>
      </c>
      <c r="E50" s="60"/>
      <c r="F50" s="95">
        <f t="shared" si="2"/>
        <v>9000</v>
      </c>
      <c r="G50" s="113"/>
      <c r="H50" s="40"/>
      <c r="I50" s="122"/>
      <c r="J50" s="123"/>
      <c r="K50" s="124"/>
    </row>
    <row r="51" spans="1:11" s="3" customFormat="1" ht="16.5" customHeight="1" x14ac:dyDescent="0.25">
      <c r="A51" s="84" t="s">
        <v>23</v>
      </c>
      <c r="B51" s="85"/>
      <c r="C51" s="86"/>
      <c r="D51" s="59">
        <v>10000</v>
      </c>
      <c r="E51" s="60"/>
      <c r="F51" s="95">
        <f t="shared" si="2"/>
        <v>10000</v>
      </c>
      <c r="G51" s="113"/>
      <c r="H51" s="40"/>
      <c r="I51" s="122"/>
      <c r="J51" s="123"/>
      <c r="K51" s="124"/>
    </row>
    <row r="52" spans="1:11" s="3" customFormat="1" ht="16.5" customHeight="1" x14ac:dyDescent="0.25">
      <c r="A52" s="84" t="s">
        <v>61</v>
      </c>
      <c r="B52" s="85"/>
      <c r="C52" s="86"/>
      <c r="D52" s="59">
        <v>5000</v>
      </c>
      <c r="E52" s="60"/>
      <c r="F52" s="95">
        <f t="shared" si="2"/>
        <v>5000</v>
      </c>
      <c r="G52" s="113"/>
      <c r="H52" s="40"/>
      <c r="I52" s="122"/>
      <c r="J52" s="123"/>
      <c r="K52" s="124"/>
    </row>
    <row r="53" spans="1:11" s="3" customFormat="1" ht="24.75" customHeight="1" x14ac:dyDescent="0.25">
      <c r="A53" s="84" t="s">
        <v>32</v>
      </c>
      <c r="B53" s="159"/>
      <c r="C53" s="160"/>
      <c r="D53" s="59">
        <v>2400</v>
      </c>
      <c r="E53" s="161"/>
      <c r="F53" s="95">
        <f t="shared" si="2"/>
        <v>2400</v>
      </c>
      <c r="G53" s="113"/>
      <c r="H53" s="40"/>
      <c r="I53" s="122"/>
      <c r="J53" s="123"/>
      <c r="K53" s="124"/>
    </row>
    <row r="54" spans="1:11" s="3" customFormat="1" ht="24.75" customHeight="1" x14ac:dyDescent="0.25">
      <c r="A54" s="84" t="s">
        <v>76</v>
      </c>
      <c r="B54" s="159"/>
      <c r="C54" s="160"/>
      <c r="D54" s="59">
        <f>14*500</f>
        <v>7000</v>
      </c>
      <c r="E54" s="161"/>
      <c r="F54" s="95">
        <f t="shared" si="2"/>
        <v>7000</v>
      </c>
      <c r="G54" s="113"/>
      <c r="H54" s="40"/>
      <c r="I54" s="122"/>
      <c r="J54" s="123"/>
      <c r="K54" s="124"/>
    </row>
    <row r="55" spans="1:11" s="3" customFormat="1" ht="16.5" customHeight="1" x14ac:dyDescent="0.25">
      <c r="A55" s="51" t="s">
        <v>20</v>
      </c>
      <c r="B55" s="52"/>
      <c r="C55" s="53"/>
      <c r="D55" s="149">
        <f>SUM(D56:E69)</f>
        <v>3349960.48</v>
      </c>
      <c r="E55" s="150"/>
      <c r="F55" s="149">
        <f>SUM(F56:G69)</f>
        <v>3349960.48</v>
      </c>
      <c r="G55" s="150"/>
      <c r="H55" s="39">
        <f>SUM(H56:H69)</f>
        <v>0</v>
      </c>
      <c r="I55" s="151"/>
      <c r="J55" s="151"/>
      <c r="K55" s="151"/>
    </row>
    <row r="56" spans="1:11" s="3" customFormat="1" ht="27.75" customHeight="1" x14ac:dyDescent="0.25">
      <c r="A56" s="84" t="s">
        <v>52</v>
      </c>
      <c r="B56" s="85"/>
      <c r="C56" s="86"/>
      <c r="D56" s="87">
        <v>7027.2</v>
      </c>
      <c r="E56" s="88"/>
      <c r="F56" s="87">
        <f t="shared" ref="F56:F79" si="3">D56+H56</f>
        <v>7027.2</v>
      </c>
      <c r="G56" s="89"/>
      <c r="H56" s="43"/>
      <c r="I56" s="90"/>
      <c r="J56" s="91"/>
      <c r="K56" s="92"/>
    </row>
    <row r="57" spans="1:11" s="3" customFormat="1" ht="15.75" customHeight="1" x14ac:dyDescent="0.25">
      <c r="A57" s="84" t="s">
        <v>33</v>
      </c>
      <c r="B57" s="85"/>
      <c r="C57" s="86"/>
      <c r="D57" s="87">
        <v>20685.599999999999</v>
      </c>
      <c r="E57" s="88"/>
      <c r="F57" s="87">
        <f t="shared" si="3"/>
        <v>20685.599999999999</v>
      </c>
      <c r="G57" s="89"/>
      <c r="H57" s="44"/>
      <c r="I57" s="162"/>
      <c r="J57" s="163"/>
      <c r="K57" s="164"/>
    </row>
    <row r="58" spans="1:11" s="3" customFormat="1" ht="63" customHeight="1" x14ac:dyDescent="0.25">
      <c r="A58" s="84" t="s">
        <v>47</v>
      </c>
      <c r="B58" s="85"/>
      <c r="C58" s="86"/>
      <c r="D58" s="87">
        <v>50000</v>
      </c>
      <c r="E58" s="88"/>
      <c r="F58" s="87">
        <f t="shared" si="3"/>
        <v>50000</v>
      </c>
      <c r="G58" s="89"/>
      <c r="H58" s="43"/>
      <c r="I58" s="97"/>
      <c r="J58" s="98"/>
      <c r="K58" s="99"/>
    </row>
    <row r="59" spans="1:11" s="3" customFormat="1" ht="36" customHeight="1" x14ac:dyDescent="0.25">
      <c r="A59" s="84" t="s">
        <v>215</v>
      </c>
      <c r="B59" s="85"/>
      <c r="C59" s="86"/>
      <c r="D59" s="87">
        <v>30543.360000000001</v>
      </c>
      <c r="E59" s="88"/>
      <c r="F59" s="87">
        <f t="shared" si="3"/>
        <v>30543.360000000001</v>
      </c>
      <c r="G59" s="89"/>
      <c r="H59" s="47"/>
      <c r="I59" s="90"/>
      <c r="J59" s="91"/>
      <c r="K59" s="92"/>
    </row>
    <row r="60" spans="1:11" s="3" customFormat="1" ht="22.5" customHeight="1" x14ac:dyDescent="0.25">
      <c r="A60" s="84" t="s">
        <v>48</v>
      </c>
      <c r="B60" s="85"/>
      <c r="C60" s="86"/>
      <c r="D60" s="87">
        <v>299934.71999999997</v>
      </c>
      <c r="E60" s="88"/>
      <c r="F60" s="87">
        <f t="shared" si="3"/>
        <v>299934.71999999997</v>
      </c>
      <c r="G60" s="89"/>
      <c r="H60" s="47"/>
      <c r="I60" s="90"/>
      <c r="J60" s="91"/>
      <c r="K60" s="92"/>
    </row>
    <row r="61" spans="1:11" s="3" customFormat="1" ht="16.5" customHeight="1" x14ac:dyDescent="0.25">
      <c r="A61" s="84" t="s">
        <v>53</v>
      </c>
      <c r="B61" s="85"/>
      <c r="C61" s="86"/>
      <c r="D61" s="87">
        <v>8600</v>
      </c>
      <c r="E61" s="88"/>
      <c r="F61" s="87">
        <f t="shared" si="3"/>
        <v>8600</v>
      </c>
      <c r="G61" s="89"/>
      <c r="H61" s="47"/>
      <c r="I61" s="90"/>
      <c r="J61" s="91"/>
      <c r="K61" s="92"/>
    </row>
    <row r="62" spans="1:11" s="3" customFormat="1" ht="36.75" customHeight="1" x14ac:dyDescent="0.25">
      <c r="A62" s="84" t="s">
        <v>62</v>
      </c>
      <c r="B62" s="85"/>
      <c r="C62" s="86"/>
      <c r="D62" s="87">
        <v>29790</v>
      </c>
      <c r="E62" s="88"/>
      <c r="F62" s="87">
        <f t="shared" si="3"/>
        <v>29790</v>
      </c>
      <c r="G62" s="89"/>
      <c r="H62" s="47"/>
      <c r="I62" s="90"/>
      <c r="J62" s="91"/>
      <c r="K62" s="92"/>
    </row>
    <row r="63" spans="1:11" s="3" customFormat="1" ht="18" customHeight="1" x14ac:dyDescent="0.25">
      <c r="A63" s="84" t="s">
        <v>54</v>
      </c>
      <c r="B63" s="85"/>
      <c r="C63" s="86"/>
      <c r="D63" s="87">
        <v>51050</v>
      </c>
      <c r="E63" s="88"/>
      <c r="F63" s="87">
        <f t="shared" si="3"/>
        <v>51050</v>
      </c>
      <c r="G63" s="89"/>
      <c r="H63" s="47"/>
      <c r="I63" s="90"/>
      <c r="J63" s="91"/>
      <c r="K63" s="92"/>
    </row>
    <row r="64" spans="1:11" s="3" customFormat="1" ht="37.5" customHeight="1" x14ac:dyDescent="0.25">
      <c r="A64" s="84" t="s">
        <v>78</v>
      </c>
      <c r="B64" s="85"/>
      <c r="C64" s="86"/>
      <c r="D64" s="87">
        <v>0</v>
      </c>
      <c r="E64" s="88"/>
      <c r="F64" s="87">
        <f t="shared" si="3"/>
        <v>0</v>
      </c>
      <c r="G64" s="89"/>
      <c r="H64" s="47"/>
      <c r="I64" s="90"/>
      <c r="J64" s="91"/>
      <c r="K64" s="92"/>
    </row>
    <row r="65" spans="1:11" s="3" customFormat="1" ht="16.5" customHeight="1" x14ac:dyDescent="0.25">
      <c r="A65" s="84" t="s">
        <v>55</v>
      </c>
      <c r="B65" s="85"/>
      <c r="C65" s="86"/>
      <c r="D65" s="87">
        <v>13500</v>
      </c>
      <c r="E65" s="88"/>
      <c r="F65" s="87">
        <f t="shared" si="3"/>
        <v>13500</v>
      </c>
      <c r="G65" s="89"/>
      <c r="H65" s="47"/>
      <c r="I65" s="90"/>
      <c r="J65" s="91"/>
      <c r="K65" s="92"/>
    </row>
    <row r="66" spans="1:11" s="3" customFormat="1" ht="17.25" customHeight="1" x14ac:dyDescent="0.25">
      <c r="A66" s="84" t="s">
        <v>56</v>
      </c>
      <c r="B66" s="85"/>
      <c r="C66" s="86"/>
      <c r="D66" s="87">
        <v>28329.599999999999</v>
      </c>
      <c r="E66" s="88"/>
      <c r="F66" s="87">
        <f t="shared" si="3"/>
        <v>28329.599999999999</v>
      </c>
      <c r="G66" s="89"/>
      <c r="H66" s="47"/>
      <c r="I66" s="90"/>
      <c r="J66" s="91"/>
      <c r="K66" s="92"/>
    </row>
    <row r="67" spans="1:11" s="3" customFormat="1" ht="32.25" customHeight="1" x14ac:dyDescent="0.25">
      <c r="A67" s="84" t="s">
        <v>114</v>
      </c>
      <c r="B67" s="85"/>
      <c r="C67" s="86"/>
      <c r="D67" s="87">
        <v>8000</v>
      </c>
      <c r="E67" s="88"/>
      <c r="F67" s="87">
        <f t="shared" si="3"/>
        <v>8000</v>
      </c>
      <c r="G67" s="89"/>
      <c r="H67" s="47"/>
      <c r="I67" s="90"/>
      <c r="J67" s="91"/>
      <c r="K67" s="92"/>
    </row>
    <row r="68" spans="1:11" s="3" customFormat="1" ht="54" customHeight="1" x14ac:dyDescent="0.25">
      <c r="A68" s="84" t="s">
        <v>163</v>
      </c>
      <c r="B68" s="85"/>
      <c r="C68" s="86"/>
      <c r="D68" s="87">
        <v>47300</v>
      </c>
      <c r="E68" s="88"/>
      <c r="F68" s="87">
        <f t="shared" si="3"/>
        <v>47300</v>
      </c>
      <c r="G68" s="89"/>
      <c r="H68" s="47"/>
      <c r="I68" s="90"/>
      <c r="J68" s="91"/>
      <c r="K68" s="92"/>
    </row>
    <row r="69" spans="1:11" s="3" customFormat="1" ht="44.25" customHeight="1" x14ac:dyDescent="0.25">
      <c r="A69" s="84" t="s">
        <v>142</v>
      </c>
      <c r="B69" s="85"/>
      <c r="C69" s="86"/>
      <c r="D69" s="87">
        <v>2755200</v>
      </c>
      <c r="E69" s="88"/>
      <c r="F69" s="87">
        <f t="shared" si="3"/>
        <v>2755200</v>
      </c>
      <c r="G69" s="89"/>
      <c r="H69" s="42"/>
      <c r="I69" s="90"/>
      <c r="J69" s="91"/>
      <c r="K69" s="92"/>
    </row>
    <row r="70" spans="1:11" ht="16.5" customHeight="1" x14ac:dyDescent="0.25">
      <c r="A70" s="51" t="s">
        <v>31</v>
      </c>
      <c r="B70" s="52"/>
      <c r="C70" s="53"/>
      <c r="D70" s="54">
        <f>D71</f>
        <v>3943.57</v>
      </c>
      <c r="E70" s="55"/>
      <c r="F70" s="54">
        <f t="shared" si="3"/>
        <v>3943.57</v>
      </c>
      <c r="G70" s="55"/>
      <c r="H70" s="39">
        <f>SUM(H71:H71)</f>
        <v>0</v>
      </c>
      <c r="I70" s="50"/>
      <c r="J70" s="50"/>
      <c r="K70" s="50"/>
    </row>
    <row r="71" spans="1:11" s="3" customFormat="1" ht="22.5" customHeight="1" x14ac:dyDescent="0.25">
      <c r="A71" s="84" t="s">
        <v>115</v>
      </c>
      <c r="B71" s="85"/>
      <c r="C71" s="86"/>
      <c r="D71" s="95">
        <v>3943.57</v>
      </c>
      <c r="E71" s="112"/>
      <c r="F71" s="95">
        <f t="shared" si="3"/>
        <v>3943.57</v>
      </c>
      <c r="G71" s="96"/>
      <c r="H71" s="42"/>
      <c r="I71" s="90"/>
      <c r="J71" s="91"/>
      <c r="K71" s="92"/>
    </row>
    <row r="72" spans="1:11" ht="16.5" customHeight="1" x14ac:dyDescent="0.25">
      <c r="A72" s="51" t="s">
        <v>63</v>
      </c>
      <c r="B72" s="52"/>
      <c r="C72" s="53"/>
      <c r="D72" s="54">
        <f>D73</f>
        <v>10300</v>
      </c>
      <c r="E72" s="55"/>
      <c r="F72" s="54">
        <f t="shared" si="3"/>
        <v>157020</v>
      </c>
      <c r="G72" s="55"/>
      <c r="H72" s="39">
        <f>H74</f>
        <v>146720</v>
      </c>
      <c r="I72" s="50"/>
      <c r="J72" s="50"/>
      <c r="K72" s="50"/>
    </row>
    <row r="73" spans="1:11" s="3" customFormat="1" ht="18.75" customHeight="1" x14ac:dyDescent="0.25">
      <c r="A73" s="84" t="s">
        <v>121</v>
      </c>
      <c r="B73" s="85"/>
      <c r="C73" s="86"/>
      <c r="D73" s="95">
        <v>10300</v>
      </c>
      <c r="E73" s="112"/>
      <c r="F73" s="95">
        <f t="shared" si="3"/>
        <v>10300</v>
      </c>
      <c r="G73" s="96"/>
      <c r="H73" s="42"/>
      <c r="I73" s="90"/>
      <c r="J73" s="91"/>
      <c r="K73" s="92"/>
    </row>
    <row r="74" spans="1:11" s="3" customFormat="1" ht="60" customHeight="1" x14ac:dyDescent="0.25">
      <c r="A74" s="84" t="s">
        <v>230</v>
      </c>
      <c r="B74" s="85"/>
      <c r="C74" s="86"/>
      <c r="D74" s="95"/>
      <c r="E74" s="112"/>
      <c r="F74" s="95">
        <f t="shared" ref="F74" si="4">D74+H74</f>
        <v>146720</v>
      </c>
      <c r="G74" s="96"/>
      <c r="H74" s="42">
        <f>56*2620</f>
        <v>146720</v>
      </c>
      <c r="I74" s="90" t="s">
        <v>238</v>
      </c>
      <c r="J74" s="91"/>
      <c r="K74" s="92"/>
    </row>
    <row r="75" spans="1:11" ht="45.75" customHeight="1" x14ac:dyDescent="0.25">
      <c r="A75" s="172" t="s">
        <v>34</v>
      </c>
      <c r="B75" s="179"/>
      <c r="C75" s="180"/>
      <c r="D75" s="100">
        <v>0</v>
      </c>
      <c r="E75" s="181"/>
      <c r="F75" s="100">
        <f t="shared" si="3"/>
        <v>0</v>
      </c>
      <c r="G75" s="101"/>
      <c r="H75" s="45"/>
      <c r="I75" s="90"/>
      <c r="J75" s="91"/>
      <c r="K75" s="92"/>
    </row>
    <row r="76" spans="1:11" ht="32.25" customHeight="1" x14ac:dyDescent="0.25">
      <c r="A76" s="172" t="s">
        <v>39</v>
      </c>
      <c r="B76" s="173"/>
      <c r="C76" s="174"/>
      <c r="D76" s="100">
        <f>SUM(D77:E79)</f>
        <v>376521.2</v>
      </c>
      <c r="E76" s="175"/>
      <c r="F76" s="100">
        <f t="shared" si="3"/>
        <v>376521.2</v>
      </c>
      <c r="G76" s="101"/>
      <c r="H76" s="45">
        <f>H77+H78+H79</f>
        <v>0</v>
      </c>
      <c r="I76" s="102"/>
      <c r="J76" s="103"/>
      <c r="K76" s="104"/>
    </row>
    <row r="77" spans="1:11" s="3" customFormat="1" ht="27.75" customHeight="1" x14ac:dyDescent="0.25">
      <c r="A77" s="84" t="s">
        <v>83</v>
      </c>
      <c r="B77" s="85"/>
      <c r="C77" s="86"/>
      <c r="D77" s="95">
        <v>460</v>
      </c>
      <c r="E77" s="112"/>
      <c r="F77" s="95">
        <f t="shared" si="3"/>
        <v>460</v>
      </c>
      <c r="G77" s="113"/>
      <c r="H77" s="42"/>
      <c r="I77" s="239"/>
      <c r="J77" s="240"/>
      <c r="K77" s="241"/>
    </row>
    <row r="78" spans="1:11" s="3" customFormat="1" ht="25.5" customHeight="1" x14ac:dyDescent="0.25">
      <c r="A78" s="84" t="s">
        <v>82</v>
      </c>
      <c r="B78" s="85"/>
      <c r="C78" s="86"/>
      <c r="D78" s="95">
        <v>5061.2</v>
      </c>
      <c r="E78" s="112"/>
      <c r="F78" s="95">
        <f t="shared" si="3"/>
        <v>5061.2</v>
      </c>
      <c r="G78" s="113"/>
      <c r="H78" s="42"/>
      <c r="I78" s="242"/>
      <c r="J78" s="243"/>
      <c r="K78" s="244"/>
    </row>
    <row r="79" spans="1:11" s="3" customFormat="1" ht="21.75" customHeight="1" x14ac:dyDescent="0.25">
      <c r="A79" s="84" t="s">
        <v>157</v>
      </c>
      <c r="B79" s="85"/>
      <c r="C79" s="86"/>
      <c r="D79" s="95">
        <v>371000</v>
      </c>
      <c r="E79" s="112"/>
      <c r="F79" s="95">
        <f t="shared" si="3"/>
        <v>371000</v>
      </c>
      <c r="G79" s="113"/>
      <c r="H79" s="42"/>
      <c r="I79" s="90"/>
      <c r="J79" s="91"/>
      <c r="K79" s="92"/>
    </row>
    <row r="80" spans="1:11" ht="27" customHeight="1" x14ac:dyDescent="0.25">
      <c r="A80" s="172" t="s">
        <v>38</v>
      </c>
      <c r="B80" s="179"/>
      <c r="C80" s="180"/>
      <c r="D80" s="54">
        <f>SUM(D81:E83)</f>
        <v>13800</v>
      </c>
      <c r="E80" s="55"/>
      <c r="F80" s="54">
        <f>SUM(F81:G83)</f>
        <v>13800</v>
      </c>
      <c r="G80" s="55"/>
      <c r="H80" s="45">
        <f>H83</f>
        <v>0</v>
      </c>
      <c r="I80" s="90"/>
      <c r="J80" s="91"/>
      <c r="K80" s="92"/>
    </row>
    <row r="81" spans="1:11" s="3" customFormat="1" ht="16.5" customHeight="1" x14ac:dyDescent="0.25">
      <c r="A81" s="84" t="s">
        <v>84</v>
      </c>
      <c r="B81" s="85"/>
      <c r="C81" s="86"/>
      <c r="D81" s="95">
        <f>4*2150</f>
        <v>8600</v>
      </c>
      <c r="E81" s="112"/>
      <c r="F81" s="95">
        <f t="shared" ref="F81:F88" si="5">D81+H81</f>
        <v>8600</v>
      </c>
      <c r="G81" s="113"/>
      <c r="H81" s="42"/>
      <c r="I81" s="90"/>
      <c r="J81" s="91"/>
      <c r="K81" s="92"/>
    </row>
    <row r="82" spans="1:11" s="3" customFormat="1" ht="16.5" customHeight="1" x14ac:dyDescent="0.25">
      <c r="A82" s="84" t="s">
        <v>85</v>
      </c>
      <c r="B82" s="85"/>
      <c r="C82" s="86"/>
      <c r="D82" s="95">
        <f>30*120</f>
        <v>3600</v>
      </c>
      <c r="E82" s="112"/>
      <c r="F82" s="95">
        <f t="shared" si="5"/>
        <v>3600</v>
      </c>
      <c r="G82" s="113"/>
      <c r="H82" s="42"/>
      <c r="I82" s="90"/>
      <c r="J82" s="91"/>
      <c r="K82" s="92"/>
    </row>
    <row r="83" spans="1:11" s="3" customFormat="1" ht="16.5" customHeight="1" x14ac:dyDescent="0.25">
      <c r="A83" s="84" t="s">
        <v>153</v>
      </c>
      <c r="B83" s="85"/>
      <c r="C83" s="86"/>
      <c r="D83" s="95">
        <v>1600</v>
      </c>
      <c r="E83" s="112"/>
      <c r="F83" s="95">
        <f t="shared" si="5"/>
        <v>1600</v>
      </c>
      <c r="G83" s="113"/>
      <c r="H83" s="42"/>
      <c r="I83" s="90"/>
      <c r="J83" s="91"/>
      <c r="K83" s="92"/>
    </row>
    <row r="84" spans="1:11" ht="27" customHeight="1" x14ac:dyDescent="0.25">
      <c r="A84" s="172" t="s">
        <v>231</v>
      </c>
      <c r="B84" s="179"/>
      <c r="C84" s="180"/>
      <c r="D84" s="54">
        <v>0</v>
      </c>
      <c r="E84" s="55"/>
      <c r="F84" s="54">
        <f t="shared" si="5"/>
        <v>28452</v>
      </c>
      <c r="G84" s="55"/>
      <c r="H84" s="45">
        <f>H85+H86</f>
        <v>28452</v>
      </c>
      <c r="I84" s="90"/>
      <c r="J84" s="91"/>
      <c r="K84" s="92"/>
    </row>
    <row r="85" spans="1:11" s="3" customFormat="1" ht="35.25" customHeight="1" x14ac:dyDescent="0.25">
      <c r="A85" s="84" t="s">
        <v>232</v>
      </c>
      <c r="B85" s="85"/>
      <c r="C85" s="86"/>
      <c r="D85" s="95"/>
      <c r="E85" s="112"/>
      <c r="F85" s="95">
        <f t="shared" si="5"/>
        <v>14592</v>
      </c>
      <c r="G85" s="113"/>
      <c r="H85" s="42">
        <f>19*768</f>
        <v>14592</v>
      </c>
      <c r="I85" s="206" t="s">
        <v>239</v>
      </c>
      <c r="J85" s="207"/>
      <c r="K85" s="208"/>
    </row>
    <row r="86" spans="1:11" s="3" customFormat="1" ht="35.25" customHeight="1" x14ac:dyDescent="0.25">
      <c r="A86" s="84" t="s">
        <v>233</v>
      </c>
      <c r="B86" s="85"/>
      <c r="C86" s="86"/>
      <c r="D86" s="95"/>
      <c r="E86" s="112"/>
      <c r="F86" s="95">
        <f t="shared" si="5"/>
        <v>13860</v>
      </c>
      <c r="G86" s="113"/>
      <c r="H86" s="42">
        <f>18*770</f>
        <v>13860</v>
      </c>
      <c r="I86" s="212"/>
      <c r="J86" s="213"/>
      <c r="K86" s="214"/>
    </row>
    <row r="87" spans="1:11" ht="30.75" customHeight="1" x14ac:dyDescent="0.25">
      <c r="A87" s="172" t="s">
        <v>35</v>
      </c>
      <c r="B87" s="179"/>
      <c r="C87" s="180"/>
      <c r="D87" s="54">
        <f>SUM(D88:E89)</f>
        <v>21665.08</v>
      </c>
      <c r="E87" s="55"/>
      <c r="F87" s="54">
        <f t="shared" si="5"/>
        <v>21664.800000000003</v>
      </c>
      <c r="G87" s="55"/>
      <c r="H87" s="45">
        <f>H88+H89</f>
        <v>-0.28000000000000003</v>
      </c>
      <c r="I87" s="122"/>
      <c r="J87" s="123"/>
      <c r="K87" s="124"/>
    </row>
    <row r="88" spans="1:11" s="3" customFormat="1" ht="95.25" customHeight="1" x14ac:dyDescent="0.25">
      <c r="A88" s="84" t="s">
        <v>86</v>
      </c>
      <c r="B88" s="85"/>
      <c r="C88" s="86"/>
      <c r="D88" s="95">
        <v>17115.080000000002</v>
      </c>
      <c r="E88" s="112"/>
      <c r="F88" s="95">
        <f t="shared" si="5"/>
        <v>17114.800000000003</v>
      </c>
      <c r="G88" s="113"/>
      <c r="H88" s="47">
        <v>-0.28000000000000003</v>
      </c>
      <c r="I88" s="90" t="s">
        <v>132</v>
      </c>
      <c r="J88" s="91"/>
      <c r="K88" s="92"/>
    </row>
    <row r="89" spans="1:11" s="3" customFormat="1" ht="104.25" customHeight="1" x14ac:dyDescent="0.25">
      <c r="A89" s="84" t="s">
        <v>92</v>
      </c>
      <c r="B89" s="85"/>
      <c r="C89" s="86"/>
      <c r="D89" s="95">
        <v>4550</v>
      </c>
      <c r="E89" s="112"/>
      <c r="F89" s="95">
        <f t="shared" ref="F89:F96" si="6">D89+H89</f>
        <v>4550</v>
      </c>
      <c r="G89" s="113"/>
      <c r="H89" s="47"/>
      <c r="I89" s="90"/>
      <c r="J89" s="91"/>
      <c r="K89" s="92"/>
    </row>
    <row r="90" spans="1:11" s="30" customFormat="1" ht="33" customHeight="1" x14ac:dyDescent="0.25">
      <c r="A90" s="105" t="s">
        <v>40</v>
      </c>
      <c r="B90" s="106"/>
      <c r="C90" s="107"/>
      <c r="D90" s="108">
        <f>D91+D92+D93+D94+D95+D96</f>
        <v>0</v>
      </c>
      <c r="E90" s="109"/>
      <c r="F90" s="108">
        <f t="shared" si="6"/>
        <v>0</v>
      </c>
      <c r="G90" s="109"/>
      <c r="H90" s="42">
        <f>SUM(H91:H96)</f>
        <v>0</v>
      </c>
      <c r="I90" s="61"/>
      <c r="J90" s="110"/>
      <c r="K90" s="111"/>
    </row>
    <row r="91" spans="1:11" s="30" customFormat="1" ht="16.5" customHeight="1" x14ac:dyDescent="0.25">
      <c r="A91" s="67" t="s">
        <v>116</v>
      </c>
      <c r="B91" s="68"/>
      <c r="C91" s="69"/>
      <c r="D91" s="59">
        <v>0</v>
      </c>
      <c r="E91" s="60"/>
      <c r="F91" s="59">
        <f t="shared" si="6"/>
        <v>0</v>
      </c>
      <c r="G91" s="60"/>
      <c r="H91" s="42"/>
      <c r="I91" s="206"/>
      <c r="J91" s="207"/>
      <c r="K91" s="208"/>
    </row>
    <row r="92" spans="1:11" s="30" customFormat="1" ht="16.5" customHeight="1" x14ac:dyDescent="0.25">
      <c r="A92" s="67" t="s">
        <v>117</v>
      </c>
      <c r="B92" s="93"/>
      <c r="C92" s="94"/>
      <c r="D92" s="59">
        <v>0</v>
      </c>
      <c r="E92" s="60"/>
      <c r="F92" s="59">
        <f t="shared" si="6"/>
        <v>0</v>
      </c>
      <c r="G92" s="60"/>
      <c r="H92" s="42"/>
      <c r="I92" s="236"/>
      <c r="J92" s="237"/>
      <c r="K92" s="238"/>
    </row>
    <row r="93" spans="1:11" s="30" customFormat="1" ht="16.5" customHeight="1" x14ac:dyDescent="0.25">
      <c r="A93" s="67" t="s">
        <v>118</v>
      </c>
      <c r="B93" s="68"/>
      <c r="C93" s="69"/>
      <c r="D93" s="59">
        <v>0</v>
      </c>
      <c r="E93" s="60"/>
      <c r="F93" s="59">
        <f t="shared" si="6"/>
        <v>0</v>
      </c>
      <c r="G93" s="60"/>
      <c r="H93" s="42"/>
      <c r="I93" s="236"/>
      <c r="J93" s="237"/>
      <c r="K93" s="238"/>
    </row>
    <row r="94" spans="1:11" s="30" customFormat="1" ht="16.5" customHeight="1" x14ac:dyDescent="0.25">
      <c r="A94" s="67" t="s">
        <v>119</v>
      </c>
      <c r="B94" s="68"/>
      <c r="C94" s="69"/>
      <c r="D94" s="59">
        <v>0</v>
      </c>
      <c r="E94" s="60"/>
      <c r="F94" s="59">
        <f t="shared" si="6"/>
        <v>0</v>
      </c>
      <c r="G94" s="60"/>
      <c r="H94" s="42"/>
      <c r="I94" s="236"/>
      <c r="J94" s="237"/>
      <c r="K94" s="238"/>
    </row>
    <row r="95" spans="1:11" s="30" customFormat="1" ht="16.5" customHeight="1" x14ac:dyDescent="0.25">
      <c r="A95" s="67" t="s">
        <v>91</v>
      </c>
      <c r="B95" s="68"/>
      <c r="C95" s="69"/>
      <c r="D95" s="59">
        <v>0</v>
      </c>
      <c r="E95" s="60"/>
      <c r="F95" s="59">
        <f t="shared" si="6"/>
        <v>0</v>
      </c>
      <c r="G95" s="60"/>
      <c r="H95" s="42"/>
      <c r="I95" s="236"/>
      <c r="J95" s="237"/>
      <c r="K95" s="238"/>
    </row>
    <row r="96" spans="1:11" s="30" customFormat="1" ht="16.5" customHeight="1" x14ac:dyDescent="0.25">
      <c r="A96" s="67" t="s">
        <v>120</v>
      </c>
      <c r="B96" s="68"/>
      <c r="C96" s="69"/>
      <c r="D96" s="59">
        <v>0</v>
      </c>
      <c r="E96" s="60"/>
      <c r="F96" s="59">
        <f t="shared" si="6"/>
        <v>0</v>
      </c>
      <c r="G96" s="60"/>
      <c r="H96" s="42"/>
      <c r="I96" s="215"/>
      <c r="J96" s="216"/>
      <c r="K96" s="217"/>
    </row>
    <row r="97" spans="1:11" s="3" customFormat="1" x14ac:dyDescent="0.25">
      <c r="A97" s="64" t="s">
        <v>11</v>
      </c>
      <c r="B97" s="64"/>
      <c r="C97" s="64"/>
      <c r="D97" s="65">
        <f>D31+D32+D33+D34+D39+D43+D55+D70+D72+D75+D76+D80+D87+D90</f>
        <v>10198244.999999998</v>
      </c>
      <c r="E97" s="66"/>
      <c r="F97" s="65">
        <f>F31+F32+F33+F34+F39+F43+F55+F70+F72+F75+F76+F80+F87+F90+F84</f>
        <v>10373291</v>
      </c>
      <c r="G97" s="66"/>
      <c r="H97" s="38">
        <f>H31+H32+H33+H34+H39+H43+H55+H70+H72+H75+H76+H80+H87+H90+H84</f>
        <v>175046</v>
      </c>
      <c r="I97" s="50"/>
      <c r="J97" s="50"/>
      <c r="K97" s="50"/>
    </row>
    <row r="98" spans="1:11" s="3" customFormat="1" x14ac:dyDescent="0.25">
      <c r="A98" s="8"/>
      <c r="B98" s="8"/>
      <c r="C98" s="8"/>
      <c r="D98" s="9"/>
      <c r="E98" s="9"/>
      <c r="F98" s="9"/>
      <c r="G98" s="9"/>
      <c r="H98" s="9"/>
    </row>
    <row r="99" spans="1:11" ht="16.5" customHeight="1" x14ac:dyDescent="0.25">
      <c r="A99" s="76" t="s">
        <v>49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</row>
    <row r="101" spans="1:11" x14ac:dyDescent="0.25">
      <c r="A101" s="50"/>
      <c r="B101" s="50"/>
      <c r="C101" s="50"/>
      <c r="D101" s="71" t="s">
        <v>5</v>
      </c>
      <c r="E101" s="71"/>
      <c r="F101" s="71" t="s">
        <v>6</v>
      </c>
      <c r="G101" s="71"/>
      <c r="H101" s="24" t="s">
        <v>14</v>
      </c>
      <c r="I101" s="72" t="s">
        <v>13</v>
      </c>
      <c r="J101" s="73"/>
      <c r="K101" s="74"/>
    </row>
    <row r="102" spans="1:11" ht="27" customHeight="1" x14ac:dyDescent="0.25">
      <c r="A102" s="121" t="s">
        <v>15</v>
      </c>
      <c r="B102" s="121"/>
      <c r="C102" s="121"/>
      <c r="D102" s="54">
        <v>396215.05</v>
      </c>
      <c r="E102" s="55"/>
      <c r="F102" s="54">
        <f t="shared" ref="F102:F107" si="7">D102+H102</f>
        <v>397443.93</v>
      </c>
      <c r="G102" s="55"/>
      <c r="H102" s="45">
        <v>1228.8800000000001</v>
      </c>
      <c r="I102" s="206" t="s">
        <v>206</v>
      </c>
      <c r="J102" s="207"/>
      <c r="K102" s="208"/>
    </row>
    <row r="103" spans="1:11" ht="27" customHeight="1" x14ac:dyDescent="0.25">
      <c r="A103" s="51" t="s">
        <v>16</v>
      </c>
      <c r="B103" s="52"/>
      <c r="C103" s="53"/>
      <c r="D103" s="54">
        <v>119656.95</v>
      </c>
      <c r="E103" s="55"/>
      <c r="F103" s="54">
        <f t="shared" si="7"/>
        <v>120028.06999999999</v>
      </c>
      <c r="G103" s="55"/>
      <c r="H103" s="45">
        <v>371.12</v>
      </c>
      <c r="I103" s="215"/>
      <c r="J103" s="216"/>
      <c r="K103" s="217"/>
    </row>
    <row r="104" spans="1:11" ht="18" customHeight="1" x14ac:dyDescent="0.25">
      <c r="A104" s="51" t="s">
        <v>25</v>
      </c>
      <c r="B104" s="52"/>
      <c r="C104" s="53"/>
      <c r="D104" s="54">
        <f>SUM(D105:E106)</f>
        <v>32124.219999999998</v>
      </c>
      <c r="E104" s="187"/>
      <c r="F104" s="54">
        <f t="shared" si="7"/>
        <v>32124.219999999998</v>
      </c>
      <c r="G104" s="187"/>
      <c r="H104" s="39">
        <f>H105+H106</f>
        <v>0</v>
      </c>
      <c r="I104" s="97"/>
      <c r="J104" s="98"/>
      <c r="K104" s="99"/>
    </row>
    <row r="105" spans="1:11" ht="21" customHeight="1" x14ac:dyDescent="0.25">
      <c r="A105" s="84" t="s">
        <v>46</v>
      </c>
      <c r="B105" s="85"/>
      <c r="C105" s="86"/>
      <c r="D105" s="95">
        <v>30816.959999999999</v>
      </c>
      <c r="E105" s="112"/>
      <c r="F105" s="95">
        <f t="shared" si="7"/>
        <v>30816.959999999999</v>
      </c>
      <c r="G105" s="112"/>
      <c r="H105" s="42"/>
      <c r="I105" s="90"/>
      <c r="J105" s="91"/>
      <c r="K105" s="92"/>
    </row>
    <row r="106" spans="1:11" ht="21" customHeight="1" x14ac:dyDescent="0.25">
      <c r="A106" s="84" t="s">
        <v>24</v>
      </c>
      <c r="B106" s="85"/>
      <c r="C106" s="86"/>
      <c r="D106" s="95">
        <v>1307.26</v>
      </c>
      <c r="E106" s="112"/>
      <c r="F106" s="95">
        <f t="shared" si="7"/>
        <v>1307.26</v>
      </c>
      <c r="G106" s="112"/>
      <c r="H106" s="42"/>
      <c r="I106" s="90"/>
      <c r="J106" s="91"/>
      <c r="K106" s="92"/>
    </row>
    <row r="107" spans="1:11" ht="19.5" customHeight="1" x14ac:dyDescent="0.25">
      <c r="A107" s="51" t="s">
        <v>26</v>
      </c>
      <c r="B107" s="52"/>
      <c r="C107" s="53"/>
      <c r="D107" s="54">
        <v>15000</v>
      </c>
      <c r="E107" s="55"/>
      <c r="F107" s="54">
        <f t="shared" si="7"/>
        <v>15000</v>
      </c>
      <c r="G107" s="55"/>
      <c r="H107" s="45"/>
      <c r="I107" s="90"/>
      <c r="J107" s="91"/>
      <c r="K107" s="92"/>
    </row>
    <row r="108" spans="1:11" s="3" customFormat="1" ht="16.5" customHeight="1" x14ac:dyDescent="0.25">
      <c r="A108" s="51" t="s">
        <v>17</v>
      </c>
      <c r="B108" s="52"/>
      <c r="C108" s="53"/>
      <c r="D108" s="149">
        <v>44243</v>
      </c>
      <c r="E108" s="150"/>
      <c r="F108" s="149">
        <f>H108+D108</f>
        <v>44243</v>
      </c>
      <c r="G108" s="150"/>
      <c r="H108" s="39"/>
      <c r="I108" s="151"/>
      <c r="J108" s="151"/>
      <c r="K108" s="151"/>
    </row>
    <row r="109" spans="1:11" s="3" customFormat="1" ht="21.75" customHeight="1" x14ac:dyDescent="0.25">
      <c r="A109" s="67" t="s">
        <v>126</v>
      </c>
      <c r="B109" s="68"/>
      <c r="C109" s="69"/>
      <c r="D109" s="95">
        <v>44243</v>
      </c>
      <c r="E109" s="112"/>
      <c r="F109" s="95">
        <f>H109+D109</f>
        <v>44243</v>
      </c>
      <c r="G109" s="113"/>
      <c r="H109" s="42"/>
      <c r="I109" s="90"/>
      <c r="J109" s="91"/>
      <c r="K109" s="92"/>
    </row>
    <row r="110" spans="1:11" ht="18.75" customHeight="1" x14ac:dyDescent="0.25">
      <c r="A110" s="51" t="s">
        <v>19</v>
      </c>
      <c r="B110" s="52"/>
      <c r="C110" s="53"/>
      <c r="D110" s="54">
        <f>D111</f>
        <v>35032</v>
      </c>
      <c r="E110" s="55"/>
      <c r="F110" s="54">
        <f>F111</f>
        <v>35032</v>
      </c>
      <c r="G110" s="55"/>
      <c r="H110" s="13">
        <f>H111</f>
        <v>0</v>
      </c>
      <c r="I110" s="56"/>
      <c r="J110" s="57"/>
      <c r="K110" s="58"/>
    </row>
    <row r="111" spans="1:11" ht="36" customHeight="1" x14ac:dyDescent="0.25">
      <c r="A111" s="84" t="s">
        <v>196</v>
      </c>
      <c r="B111" s="152"/>
      <c r="C111" s="153"/>
      <c r="D111" s="95">
        <v>35032</v>
      </c>
      <c r="E111" s="113"/>
      <c r="F111" s="95">
        <f t="shared" ref="F111" si="8">D111+H111</f>
        <v>35032</v>
      </c>
      <c r="G111" s="113"/>
      <c r="H111" s="15"/>
      <c r="I111" s="90"/>
      <c r="J111" s="91"/>
      <c r="K111" s="92"/>
    </row>
    <row r="112" spans="1:11" ht="16.5" customHeight="1" x14ac:dyDescent="0.25">
      <c r="A112" s="51" t="s">
        <v>20</v>
      </c>
      <c r="B112" s="52"/>
      <c r="C112" s="53"/>
      <c r="D112" s="54">
        <f>SUM(D113:E120)</f>
        <v>146192</v>
      </c>
      <c r="E112" s="55"/>
      <c r="F112" s="54">
        <f>D112+H112</f>
        <v>144592</v>
      </c>
      <c r="G112" s="55"/>
      <c r="H112" s="39">
        <f>SUM(H113:H120)</f>
        <v>-1600</v>
      </c>
      <c r="I112" s="50"/>
      <c r="J112" s="50"/>
      <c r="K112" s="50"/>
    </row>
    <row r="113" spans="1:11" s="3" customFormat="1" ht="21" customHeight="1" x14ac:dyDescent="0.25">
      <c r="A113" s="84" t="s">
        <v>93</v>
      </c>
      <c r="B113" s="85"/>
      <c r="C113" s="86"/>
      <c r="D113" s="95">
        <v>60900</v>
      </c>
      <c r="E113" s="112"/>
      <c r="F113" s="95">
        <f t="shared" ref="F113:F128" si="9">D113+H113</f>
        <v>60900</v>
      </c>
      <c r="G113" s="96"/>
      <c r="H113" s="47"/>
      <c r="I113" s="90"/>
      <c r="J113" s="91"/>
      <c r="K113" s="92"/>
    </row>
    <row r="114" spans="1:11" s="3" customFormat="1" ht="19.5" customHeight="1" x14ac:dyDescent="0.25">
      <c r="A114" s="84" t="s">
        <v>104</v>
      </c>
      <c r="B114" s="85"/>
      <c r="C114" s="86"/>
      <c r="D114" s="95">
        <v>24000</v>
      </c>
      <c r="E114" s="112"/>
      <c r="F114" s="95">
        <f t="shared" si="9"/>
        <v>24000</v>
      </c>
      <c r="G114" s="96"/>
      <c r="H114" s="42"/>
      <c r="I114" s="90"/>
      <c r="J114" s="91"/>
      <c r="K114" s="92"/>
    </row>
    <row r="115" spans="1:11" s="3" customFormat="1" ht="21" customHeight="1" x14ac:dyDescent="0.25">
      <c r="A115" s="84" t="s">
        <v>169</v>
      </c>
      <c r="B115" s="85"/>
      <c r="C115" s="86"/>
      <c r="D115" s="95">
        <v>12600</v>
      </c>
      <c r="E115" s="112"/>
      <c r="F115" s="95">
        <f t="shared" si="9"/>
        <v>12600</v>
      </c>
      <c r="G115" s="96"/>
      <c r="H115" s="42"/>
      <c r="I115" s="90"/>
      <c r="J115" s="91"/>
      <c r="K115" s="92"/>
    </row>
    <row r="116" spans="1:11" s="3" customFormat="1" ht="23.25" customHeight="1" x14ac:dyDescent="0.25">
      <c r="A116" s="84" t="s">
        <v>170</v>
      </c>
      <c r="B116" s="85"/>
      <c r="C116" s="86"/>
      <c r="D116" s="95">
        <v>6000</v>
      </c>
      <c r="E116" s="112"/>
      <c r="F116" s="95">
        <f t="shared" si="9"/>
        <v>6000</v>
      </c>
      <c r="G116" s="96"/>
      <c r="H116" s="42"/>
      <c r="I116" s="90"/>
      <c r="J116" s="91"/>
      <c r="K116" s="92"/>
    </row>
    <row r="117" spans="1:11" s="3" customFormat="1" ht="20.25" customHeight="1" x14ac:dyDescent="0.25">
      <c r="A117" s="84" t="s">
        <v>171</v>
      </c>
      <c r="B117" s="85"/>
      <c r="C117" s="86"/>
      <c r="D117" s="95">
        <v>1500</v>
      </c>
      <c r="E117" s="112"/>
      <c r="F117" s="95">
        <f t="shared" si="9"/>
        <v>1500</v>
      </c>
      <c r="G117" s="96"/>
      <c r="H117" s="42"/>
      <c r="I117" s="90"/>
      <c r="J117" s="91"/>
      <c r="K117" s="92"/>
    </row>
    <row r="118" spans="1:11" s="3" customFormat="1" ht="21" customHeight="1" x14ac:dyDescent="0.25">
      <c r="A118" s="84" t="s">
        <v>172</v>
      </c>
      <c r="B118" s="85"/>
      <c r="C118" s="86"/>
      <c r="D118" s="95">
        <v>11800</v>
      </c>
      <c r="E118" s="112"/>
      <c r="F118" s="95">
        <f t="shared" si="9"/>
        <v>11800</v>
      </c>
      <c r="G118" s="96"/>
      <c r="H118" s="42"/>
      <c r="I118" s="90"/>
      <c r="J118" s="91"/>
      <c r="K118" s="92"/>
    </row>
    <row r="119" spans="1:11" s="3" customFormat="1" ht="21" customHeight="1" x14ac:dyDescent="0.25">
      <c r="A119" s="84" t="s">
        <v>173</v>
      </c>
      <c r="B119" s="85"/>
      <c r="C119" s="86"/>
      <c r="D119" s="95">
        <v>21792</v>
      </c>
      <c r="E119" s="112"/>
      <c r="F119" s="95">
        <f t="shared" si="9"/>
        <v>21792</v>
      </c>
      <c r="G119" s="96"/>
      <c r="H119" s="42"/>
      <c r="I119" s="90"/>
      <c r="J119" s="91"/>
      <c r="K119" s="92"/>
    </row>
    <row r="120" spans="1:11" s="3" customFormat="1" ht="64.5" customHeight="1" x14ac:dyDescent="0.25">
      <c r="A120" s="84" t="s">
        <v>174</v>
      </c>
      <c r="B120" s="85"/>
      <c r="C120" s="86"/>
      <c r="D120" s="95">
        <v>7600</v>
      </c>
      <c r="E120" s="112"/>
      <c r="F120" s="95">
        <f t="shared" si="9"/>
        <v>6000</v>
      </c>
      <c r="G120" s="96"/>
      <c r="H120" s="42">
        <v>-1600</v>
      </c>
      <c r="I120" s="90" t="s">
        <v>240</v>
      </c>
      <c r="J120" s="91"/>
      <c r="K120" s="92"/>
    </row>
    <row r="121" spans="1:11" ht="16.5" customHeight="1" x14ac:dyDescent="0.25">
      <c r="A121" s="51" t="s">
        <v>31</v>
      </c>
      <c r="B121" s="52"/>
      <c r="C121" s="53"/>
      <c r="D121" s="54">
        <f>D122</f>
        <v>1152.43</v>
      </c>
      <c r="E121" s="55"/>
      <c r="F121" s="54">
        <f t="shared" si="9"/>
        <v>1152.43</v>
      </c>
      <c r="G121" s="55"/>
      <c r="H121" s="39">
        <f>SUM(H122:H122)</f>
        <v>0</v>
      </c>
      <c r="I121" s="50"/>
      <c r="J121" s="50"/>
      <c r="K121" s="50"/>
    </row>
    <row r="122" spans="1:11" s="3" customFormat="1" ht="21" customHeight="1" x14ac:dyDescent="0.25">
      <c r="A122" s="84" t="s">
        <v>115</v>
      </c>
      <c r="B122" s="85"/>
      <c r="C122" s="86"/>
      <c r="D122" s="95">
        <v>1152.43</v>
      </c>
      <c r="E122" s="112"/>
      <c r="F122" s="95">
        <f t="shared" si="9"/>
        <v>1152.43</v>
      </c>
      <c r="G122" s="96"/>
      <c r="H122" s="42"/>
      <c r="I122" s="90"/>
      <c r="J122" s="91"/>
      <c r="K122" s="92"/>
    </row>
    <row r="123" spans="1:11" ht="16.5" customHeight="1" x14ac:dyDescent="0.25">
      <c r="A123" s="51" t="s">
        <v>63</v>
      </c>
      <c r="B123" s="52"/>
      <c r="C123" s="53"/>
      <c r="D123" s="54">
        <f>D124+D125+D126</f>
        <v>29624</v>
      </c>
      <c r="E123" s="55"/>
      <c r="F123" s="54">
        <f>SUM(F124:G126)</f>
        <v>29624</v>
      </c>
      <c r="G123" s="55"/>
      <c r="H123" s="39">
        <f>SUM(H124:H126)</f>
        <v>0</v>
      </c>
      <c r="I123" s="50"/>
      <c r="J123" s="50"/>
      <c r="K123" s="50"/>
    </row>
    <row r="124" spans="1:11" s="3" customFormat="1" ht="21" customHeight="1" x14ac:dyDescent="0.25">
      <c r="A124" s="84" t="s">
        <v>175</v>
      </c>
      <c r="B124" s="85"/>
      <c r="C124" s="86"/>
      <c r="D124" s="95">
        <v>12005</v>
      </c>
      <c r="E124" s="112"/>
      <c r="F124" s="95">
        <f t="shared" si="9"/>
        <v>12005</v>
      </c>
      <c r="G124" s="96"/>
      <c r="H124" s="42"/>
      <c r="I124" s="90"/>
      <c r="J124" s="91"/>
      <c r="K124" s="92"/>
    </row>
    <row r="125" spans="1:11" s="3" customFormat="1" ht="21" customHeight="1" x14ac:dyDescent="0.25">
      <c r="A125" s="84" t="s">
        <v>197</v>
      </c>
      <c r="B125" s="85"/>
      <c r="C125" s="86"/>
      <c r="D125" s="95">
        <v>7304</v>
      </c>
      <c r="E125" s="112"/>
      <c r="F125" s="95">
        <f t="shared" si="9"/>
        <v>7304</v>
      </c>
      <c r="G125" s="96"/>
      <c r="H125" s="42"/>
      <c r="I125" s="251"/>
      <c r="J125" s="252"/>
      <c r="K125" s="253"/>
    </row>
    <row r="126" spans="1:11" s="3" customFormat="1" ht="21" customHeight="1" x14ac:dyDescent="0.25">
      <c r="A126" s="84" t="s">
        <v>198</v>
      </c>
      <c r="B126" s="85"/>
      <c r="C126" s="86"/>
      <c r="D126" s="95">
        <v>10315</v>
      </c>
      <c r="E126" s="112"/>
      <c r="F126" s="95">
        <f t="shared" si="9"/>
        <v>10315</v>
      </c>
      <c r="G126" s="96"/>
      <c r="H126" s="42"/>
      <c r="I126" s="215"/>
      <c r="J126" s="216"/>
      <c r="K126" s="217"/>
    </row>
    <row r="127" spans="1:11" ht="32.25" customHeight="1" x14ac:dyDescent="0.25">
      <c r="A127" s="172" t="s">
        <v>39</v>
      </c>
      <c r="B127" s="173"/>
      <c r="C127" s="174"/>
      <c r="D127" s="100">
        <f>D128</f>
        <v>23100</v>
      </c>
      <c r="E127" s="175"/>
      <c r="F127" s="100">
        <f t="shared" si="9"/>
        <v>23100</v>
      </c>
      <c r="G127" s="101"/>
      <c r="H127" s="45">
        <f>H128</f>
        <v>0</v>
      </c>
      <c r="I127" s="102"/>
      <c r="J127" s="103"/>
      <c r="K127" s="104"/>
    </row>
    <row r="128" spans="1:11" s="3" customFormat="1" ht="21" customHeight="1" x14ac:dyDescent="0.25">
      <c r="A128" s="84" t="s">
        <v>94</v>
      </c>
      <c r="B128" s="85"/>
      <c r="C128" s="86"/>
      <c r="D128" s="95">
        <v>23100</v>
      </c>
      <c r="E128" s="112"/>
      <c r="F128" s="95">
        <f t="shared" si="9"/>
        <v>23100</v>
      </c>
      <c r="G128" s="113"/>
      <c r="H128" s="42"/>
      <c r="I128" s="262"/>
      <c r="J128" s="143"/>
      <c r="K128" s="144"/>
    </row>
    <row r="129" spans="1:11" ht="27" customHeight="1" x14ac:dyDescent="0.25">
      <c r="A129" s="172" t="s">
        <v>38</v>
      </c>
      <c r="B129" s="179"/>
      <c r="C129" s="180"/>
      <c r="D129" s="54">
        <f>SUM(D130:E134)</f>
        <v>62725</v>
      </c>
      <c r="E129" s="55"/>
      <c r="F129" s="54">
        <f>SUM(F130:G134)</f>
        <v>62725</v>
      </c>
      <c r="G129" s="55"/>
      <c r="H129" s="45">
        <f>H134</f>
        <v>0</v>
      </c>
      <c r="I129" s="90"/>
      <c r="J129" s="91"/>
      <c r="K129" s="92"/>
    </row>
    <row r="130" spans="1:11" s="3" customFormat="1" ht="21" customHeight="1" x14ac:dyDescent="0.25">
      <c r="A130" s="84" t="s">
        <v>176</v>
      </c>
      <c r="B130" s="85"/>
      <c r="C130" s="86"/>
      <c r="D130" s="95">
        <v>10000</v>
      </c>
      <c r="E130" s="112"/>
      <c r="F130" s="95">
        <f>D130+H130</f>
        <v>10000</v>
      </c>
      <c r="G130" s="113"/>
      <c r="H130" s="42"/>
      <c r="I130" s="90"/>
      <c r="J130" s="91"/>
      <c r="K130" s="92"/>
    </row>
    <row r="131" spans="1:11" s="3" customFormat="1" ht="21" customHeight="1" x14ac:dyDescent="0.25">
      <c r="A131" s="84" t="s">
        <v>177</v>
      </c>
      <c r="B131" s="85"/>
      <c r="C131" s="86"/>
      <c r="D131" s="95">
        <v>6400</v>
      </c>
      <c r="E131" s="112"/>
      <c r="F131" s="95">
        <f>D131+H131</f>
        <v>6400</v>
      </c>
      <c r="G131" s="113"/>
      <c r="H131" s="42"/>
      <c r="I131" s="90"/>
      <c r="J131" s="91"/>
      <c r="K131" s="92"/>
    </row>
    <row r="132" spans="1:11" s="3" customFormat="1" ht="21" customHeight="1" x14ac:dyDescent="0.25">
      <c r="A132" s="84" t="s">
        <v>178</v>
      </c>
      <c r="B132" s="85"/>
      <c r="C132" s="86"/>
      <c r="D132" s="95">
        <v>900</v>
      </c>
      <c r="E132" s="112"/>
      <c r="F132" s="95">
        <f>D132+H132</f>
        <v>900</v>
      </c>
      <c r="G132" s="113"/>
      <c r="H132" s="42"/>
      <c r="I132" s="90"/>
      <c r="J132" s="91"/>
      <c r="K132" s="92"/>
    </row>
    <row r="133" spans="1:11" s="3" customFormat="1" ht="21" customHeight="1" x14ac:dyDescent="0.25">
      <c r="A133" s="84" t="s">
        <v>179</v>
      </c>
      <c r="B133" s="85"/>
      <c r="C133" s="86"/>
      <c r="D133" s="95">
        <v>17600</v>
      </c>
      <c r="E133" s="112"/>
      <c r="F133" s="95">
        <f>D133+H133</f>
        <v>17600</v>
      </c>
      <c r="G133" s="113"/>
      <c r="H133" s="42"/>
      <c r="I133" s="90"/>
      <c r="J133" s="91"/>
      <c r="K133" s="92"/>
    </row>
    <row r="134" spans="1:11" s="3" customFormat="1" ht="27" customHeight="1" x14ac:dyDescent="0.25">
      <c r="A134" s="84" t="s">
        <v>199</v>
      </c>
      <c r="B134" s="85"/>
      <c r="C134" s="86"/>
      <c r="D134" s="95">
        <v>27825</v>
      </c>
      <c r="E134" s="112"/>
      <c r="F134" s="95">
        <f>D134+H134</f>
        <v>27825</v>
      </c>
      <c r="G134" s="113"/>
      <c r="H134" s="42"/>
      <c r="I134" s="90"/>
      <c r="J134" s="91"/>
      <c r="K134" s="92"/>
    </row>
    <row r="135" spans="1:11" ht="34.5" customHeight="1" x14ac:dyDescent="0.25">
      <c r="A135" s="172" t="s">
        <v>35</v>
      </c>
      <c r="B135" s="179"/>
      <c r="C135" s="180"/>
      <c r="D135" s="54">
        <f>D136</f>
        <v>80695.350000000006</v>
      </c>
      <c r="E135" s="55"/>
      <c r="F135" s="54">
        <f>F136</f>
        <v>80695.350000000006</v>
      </c>
      <c r="G135" s="55"/>
      <c r="H135" s="45"/>
      <c r="I135" s="90"/>
      <c r="J135" s="91"/>
      <c r="K135" s="92"/>
    </row>
    <row r="136" spans="1:11" s="3" customFormat="1" ht="87.75" customHeight="1" x14ac:dyDescent="0.25">
      <c r="A136" s="67" t="s">
        <v>205</v>
      </c>
      <c r="B136" s="68"/>
      <c r="C136" s="69"/>
      <c r="D136" s="95">
        <v>80695.350000000006</v>
      </c>
      <c r="E136" s="112"/>
      <c r="F136" s="95">
        <f>D136+H136</f>
        <v>80695.350000000006</v>
      </c>
      <c r="G136" s="113"/>
      <c r="H136" s="42"/>
      <c r="I136" s="90"/>
      <c r="J136" s="91"/>
      <c r="K136" s="92"/>
    </row>
    <row r="137" spans="1:11" s="30" customFormat="1" ht="25.5" customHeight="1" x14ac:dyDescent="0.25">
      <c r="A137" s="105" t="s">
        <v>40</v>
      </c>
      <c r="B137" s="106"/>
      <c r="C137" s="107"/>
      <c r="D137" s="108">
        <f>D138+D139+D140+D141+D142+D143</f>
        <v>41480.660000000003</v>
      </c>
      <c r="E137" s="109"/>
      <c r="F137" s="108">
        <f t="shared" ref="F137:F143" si="10">D137+H137</f>
        <v>41480.660000000003</v>
      </c>
      <c r="G137" s="109"/>
      <c r="H137" s="42">
        <f>SUM(H138:H143)</f>
        <v>0</v>
      </c>
      <c r="I137" s="61"/>
      <c r="J137" s="110"/>
      <c r="K137" s="111"/>
    </row>
    <row r="138" spans="1:11" s="30" customFormat="1" ht="18.75" customHeight="1" x14ac:dyDescent="0.25">
      <c r="A138" s="67" t="s">
        <v>116</v>
      </c>
      <c r="B138" s="68"/>
      <c r="C138" s="69"/>
      <c r="D138" s="59">
        <v>8400</v>
      </c>
      <c r="E138" s="60"/>
      <c r="F138" s="59">
        <f t="shared" si="10"/>
        <v>8400</v>
      </c>
      <c r="G138" s="60"/>
      <c r="H138" s="42"/>
      <c r="I138" s="206"/>
      <c r="J138" s="263"/>
      <c r="K138" s="264"/>
    </row>
    <row r="139" spans="1:11" s="30" customFormat="1" ht="19.5" customHeight="1" x14ac:dyDescent="0.25">
      <c r="A139" s="67" t="s">
        <v>117</v>
      </c>
      <c r="B139" s="93"/>
      <c r="C139" s="94"/>
      <c r="D139" s="59">
        <v>10080</v>
      </c>
      <c r="E139" s="60"/>
      <c r="F139" s="59">
        <f t="shared" si="10"/>
        <v>10080</v>
      </c>
      <c r="G139" s="60"/>
      <c r="H139" s="42"/>
      <c r="I139" s="265"/>
      <c r="J139" s="266"/>
      <c r="K139" s="267"/>
    </row>
    <row r="140" spans="1:11" s="30" customFormat="1" ht="18" customHeight="1" x14ac:dyDescent="0.25">
      <c r="A140" s="67" t="s">
        <v>118</v>
      </c>
      <c r="B140" s="68"/>
      <c r="C140" s="69"/>
      <c r="D140" s="59">
        <v>13440</v>
      </c>
      <c r="E140" s="60"/>
      <c r="F140" s="59">
        <f t="shared" si="10"/>
        <v>13440</v>
      </c>
      <c r="G140" s="60"/>
      <c r="H140" s="42"/>
      <c r="I140" s="265"/>
      <c r="J140" s="266"/>
      <c r="K140" s="267"/>
    </row>
    <row r="141" spans="1:11" s="30" customFormat="1" ht="15.75" customHeight="1" x14ac:dyDescent="0.25">
      <c r="A141" s="67" t="s">
        <v>119</v>
      </c>
      <c r="B141" s="68"/>
      <c r="C141" s="69"/>
      <c r="D141" s="59">
        <v>6720</v>
      </c>
      <c r="E141" s="60"/>
      <c r="F141" s="59">
        <f t="shared" si="10"/>
        <v>6720</v>
      </c>
      <c r="G141" s="60"/>
      <c r="H141" s="42"/>
      <c r="I141" s="265"/>
      <c r="J141" s="266"/>
      <c r="K141" s="267"/>
    </row>
    <row r="142" spans="1:11" s="30" customFormat="1" ht="18" customHeight="1" x14ac:dyDescent="0.25">
      <c r="A142" s="67" t="s">
        <v>91</v>
      </c>
      <c r="B142" s="68"/>
      <c r="C142" s="69"/>
      <c r="D142" s="59">
        <v>800.66</v>
      </c>
      <c r="E142" s="60"/>
      <c r="F142" s="59">
        <f t="shared" si="10"/>
        <v>800.66</v>
      </c>
      <c r="G142" s="60"/>
      <c r="H142" s="42"/>
      <c r="I142" s="265"/>
      <c r="J142" s="266"/>
      <c r="K142" s="267"/>
    </row>
    <row r="143" spans="1:11" s="30" customFormat="1" ht="19.5" customHeight="1" x14ac:dyDescent="0.25">
      <c r="A143" s="67" t="s">
        <v>120</v>
      </c>
      <c r="B143" s="68"/>
      <c r="C143" s="69"/>
      <c r="D143" s="59">
        <v>2040</v>
      </c>
      <c r="E143" s="60"/>
      <c r="F143" s="59">
        <f t="shared" si="10"/>
        <v>2040</v>
      </c>
      <c r="G143" s="60"/>
      <c r="H143" s="42"/>
      <c r="I143" s="268"/>
      <c r="J143" s="269"/>
      <c r="K143" s="270"/>
    </row>
    <row r="144" spans="1:11" x14ac:dyDescent="0.25">
      <c r="A144" s="64" t="s">
        <v>11</v>
      </c>
      <c r="B144" s="64"/>
      <c r="C144" s="64"/>
      <c r="D144" s="65">
        <f>D102+D103+D104+D107+D108+D110+D112+D121+D123+D127+D129+D135+D137</f>
        <v>1027240.66</v>
      </c>
      <c r="E144" s="66"/>
      <c r="F144" s="65">
        <f>F102+F103+F104+F107+F108+F110+F112+F121+F123+F127+F129+F135+F137</f>
        <v>1027240.66</v>
      </c>
      <c r="G144" s="66"/>
      <c r="H144" s="38">
        <f>H102+H103+H104+H107+H108+H110+H112+H121+H123+H127+H129+H135+H137</f>
        <v>0</v>
      </c>
      <c r="I144" s="50"/>
      <c r="J144" s="50"/>
      <c r="K144" s="50"/>
    </row>
    <row r="145" spans="1:11" ht="12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 x14ac:dyDescent="0.25">
      <c r="A146" s="75" t="s">
        <v>50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</row>
    <row r="147" spans="1:11" ht="8.25" customHeight="1" x14ac:dyDescent="0.25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</row>
    <row r="148" spans="1:11" x14ac:dyDescent="0.25">
      <c r="A148" s="50"/>
      <c r="B148" s="50"/>
      <c r="C148" s="50"/>
      <c r="D148" s="71" t="s">
        <v>5</v>
      </c>
      <c r="E148" s="71"/>
      <c r="F148" s="71" t="s">
        <v>6</v>
      </c>
      <c r="G148" s="71"/>
      <c r="H148" s="24" t="s">
        <v>14</v>
      </c>
      <c r="I148" s="72" t="s">
        <v>13</v>
      </c>
      <c r="J148" s="73"/>
      <c r="K148" s="74"/>
    </row>
    <row r="149" spans="1:11" ht="18.75" customHeight="1" x14ac:dyDescent="0.25">
      <c r="A149" s="51" t="s">
        <v>19</v>
      </c>
      <c r="B149" s="52"/>
      <c r="C149" s="53"/>
      <c r="D149" s="54">
        <f>SUM(D150:E154)</f>
        <v>1340730</v>
      </c>
      <c r="E149" s="55"/>
      <c r="F149" s="54">
        <f>F150+F151+F152+F153+F154+F155</f>
        <v>1340730</v>
      </c>
      <c r="G149" s="55"/>
      <c r="H149" s="13"/>
      <c r="I149" s="56"/>
      <c r="J149" s="57"/>
      <c r="K149" s="58"/>
    </row>
    <row r="150" spans="1:11" ht="30" customHeight="1" x14ac:dyDescent="0.25">
      <c r="A150" s="84" t="s">
        <v>95</v>
      </c>
      <c r="B150" s="152"/>
      <c r="C150" s="153"/>
      <c r="D150" s="95">
        <v>208263.4</v>
      </c>
      <c r="E150" s="113"/>
      <c r="F150" s="95">
        <f t="shared" ref="F150" si="11">D150+H150</f>
        <v>208263.4</v>
      </c>
      <c r="G150" s="113"/>
      <c r="H150" s="15"/>
      <c r="I150" s="167"/>
      <c r="J150" s="168"/>
      <c r="K150" s="169"/>
    </row>
    <row r="151" spans="1:11" ht="30" hidden="1" customHeight="1" x14ac:dyDescent="0.25">
      <c r="A151" s="84" t="s">
        <v>96</v>
      </c>
      <c r="B151" s="170"/>
      <c r="C151" s="171"/>
      <c r="D151" s="95">
        <v>0</v>
      </c>
      <c r="E151" s="112"/>
      <c r="F151" s="95">
        <f>D151+H151</f>
        <v>0</v>
      </c>
      <c r="G151" s="112"/>
      <c r="H151" s="15"/>
      <c r="I151" s="167"/>
      <c r="J151" s="168"/>
      <c r="K151" s="169"/>
    </row>
    <row r="152" spans="1:11" ht="30" customHeight="1" x14ac:dyDescent="0.25">
      <c r="A152" s="84" t="s">
        <v>150</v>
      </c>
      <c r="B152" s="170"/>
      <c r="C152" s="171"/>
      <c r="D152" s="95">
        <v>99743</v>
      </c>
      <c r="E152" s="112"/>
      <c r="F152" s="95">
        <f>D152+H152</f>
        <v>99743</v>
      </c>
      <c r="G152" s="112"/>
      <c r="H152" s="15"/>
      <c r="I152" s="167"/>
      <c r="J152" s="168"/>
      <c r="K152" s="169"/>
    </row>
    <row r="153" spans="1:11" ht="21" customHeight="1" x14ac:dyDescent="0.25">
      <c r="A153" s="84" t="s">
        <v>106</v>
      </c>
      <c r="B153" s="170"/>
      <c r="C153" s="171"/>
      <c r="D153" s="95">
        <v>547343.31999999995</v>
      </c>
      <c r="E153" s="112"/>
      <c r="F153" s="95">
        <f>D153+H153</f>
        <v>547343.31999999995</v>
      </c>
      <c r="G153" s="112"/>
      <c r="H153" s="15"/>
      <c r="I153" s="56"/>
      <c r="J153" s="57"/>
      <c r="K153" s="58"/>
    </row>
    <row r="154" spans="1:11" ht="24.75" customHeight="1" x14ac:dyDescent="0.25">
      <c r="A154" s="84" t="s">
        <v>151</v>
      </c>
      <c r="B154" s="170"/>
      <c r="C154" s="171"/>
      <c r="D154" s="95">
        <v>485380.28</v>
      </c>
      <c r="E154" s="112"/>
      <c r="F154" s="95">
        <f>D154+H154</f>
        <v>456544.15</v>
      </c>
      <c r="G154" s="112"/>
      <c r="H154" s="15">
        <v>-28836.13</v>
      </c>
      <c r="I154" s="56"/>
      <c r="J154" s="57"/>
      <c r="K154" s="58"/>
    </row>
    <row r="155" spans="1:11" ht="24.75" customHeight="1" x14ac:dyDescent="0.25">
      <c r="A155" s="84" t="s">
        <v>241</v>
      </c>
      <c r="B155" s="170"/>
      <c r="C155" s="171"/>
      <c r="D155" s="95"/>
      <c r="E155" s="112"/>
      <c r="F155" s="95">
        <f>D155+H155</f>
        <v>28836.13</v>
      </c>
      <c r="G155" s="112"/>
      <c r="H155" s="15">
        <v>28836.13</v>
      </c>
      <c r="I155" s="56"/>
      <c r="J155" s="57"/>
      <c r="K155" s="58"/>
    </row>
    <row r="156" spans="1:11" x14ac:dyDescent="0.25">
      <c r="A156" s="64" t="s">
        <v>11</v>
      </c>
      <c r="B156" s="64"/>
      <c r="C156" s="64"/>
      <c r="D156" s="65">
        <f>D149</f>
        <v>1340730</v>
      </c>
      <c r="E156" s="66"/>
      <c r="F156" s="65">
        <f>F149</f>
        <v>1340730</v>
      </c>
      <c r="G156" s="66"/>
      <c r="H156" s="28"/>
      <c r="I156" s="50"/>
      <c r="J156" s="50"/>
      <c r="K156" s="50"/>
    </row>
    <row r="157" spans="1:11" ht="45" customHeight="1" x14ac:dyDescent="0.25">
      <c r="A157" s="166" t="s">
        <v>27</v>
      </c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</row>
    <row r="158" spans="1:11" ht="30.75" customHeight="1" x14ac:dyDescent="0.25">
      <c r="A158" s="166" t="s">
        <v>97</v>
      </c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</row>
    <row r="159" spans="1:11" ht="20.2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 ht="20.2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 ht="15" customHeight="1" x14ac:dyDescent="0.25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</row>
    <row r="162" spans="1:11" ht="134.25" customHeight="1" x14ac:dyDescent="0.25">
      <c r="A162" s="189" t="s">
        <v>110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</row>
    <row r="163" spans="1:11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</row>
    <row r="164" spans="1:11" x14ac:dyDescent="0.25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</row>
    <row r="165" spans="1:11" x14ac:dyDescent="0.2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</row>
    <row r="166" spans="1:11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</row>
    <row r="167" spans="1:11" x14ac:dyDescent="0.2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</row>
    <row r="168" spans="1:11" x14ac:dyDescent="0.25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</row>
    <row r="169" spans="1:11" x14ac:dyDescent="0.25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</row>
    <row r="170" spans="1:11" x14ac:dyDescent="0.25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</row>
    <row r="171" spans="1:11" x14ac:dyDescent="0.25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</row>
  </sheetData>
  <mergeCells count="526">
    <mergeCell ref="D86:E86"/>
    <mergeCell ref="F86:G86"/>
    <mergeCell ref="A8:J8"/>
    <mergeCell ref="A9:I9"/>
    <mergeCell ref="A10:I10"/>
    <mergeCell ref="A11:J11"/>
    <mergeCell ref="A12:J12"/>
    <mergeCell ref="A13:J13"/>
    <mergeCell ref="A21:C21"/>
    <mergeCell ref="D21:E21"/>
    <mergeCell ref="F21:G21"/>
    <mergeCell ref="H21:J21"/>
    <mergeCell ref="A24:C24"/>
    <mergeCell ref="D24:E24"/>
    <mergeCell ref="F24:G24"/>
    <mergeCell ref="H24:J24"/>
    <mergeCell ref="A26:J26"/>
    <mergeCell ref="A28:J28"/>
    <mergeCell ref="A22:C22"/>
    <mergeCell ref="D22:E22"/>
    <mergeCell ref="F22:G22"/>
    <mergeCell ref="H22:J22"/>
    <mergeCell ref="A23:C23"/>
    <mergeCell ref="D23:E23"/>
    <mergeCell ref="A2:J2"/>
    <mergeCell ref="A3:J3"/>
    <mergeCell ref="A4:J4"/>
    <mergeCell ref="A5:I5"/>
    <mergeCell ref="A6:J6"/>
    <mergeCell ref="A7:J7"/>
    <mergeCell ref="A20:C20"/>
    <mergeCell ref="D20:E20"/>
    <mergeCell ref="F20:G20"/>
    <mergeCell ref="H20:J20"/>
    <mergeCell ref="A14:J14"/>
    <mergeCell ref="A16:J16"/>
    <mergeCell ref="A17:J17"/>
    <mergeCell ref="A19:C19"/>
    <mergeCell ref="D19:E19"/>
    <mergeCell ref="F19:G19"/>
    <mergeCell ref="H19:J19"/>
    <mergeCell ref="F23:G23"/>
    <mergeCell ref="H23:J23"/>
    <mergeCell ref="A30:C30"/>
    <mergeCell ref="D30:E30"/>
    <mergeCell ref="F30:G30"/>
    <mergeCell ref="I30:K30"/>
    <mergeCell ref="A31:C31"/>
    <mergeCell ref="D31:E31"/>
    <mergeCell ref="F31:G31"/>
    <mergeCell ref="I31:K32"/>
    <mergeCell ref="A32:C32"/>
    <mergeCell ref="D32:E32"/>
    <mergeCell ref="F32:G32"/>
    <mergeCell ref="A33:C33"/>
    <mergeCell ref="D33:E33"/>
    <mergeCell ref="F33:G33"/>
    <mergeCell ref="I33:K33"/>
    <mergeCell ref="A34:C34"/>
    <mergeCell ref="D34:E34"/>
    <mergeCell ref="F34:G34"/>
    <mergeCell ref="I34:K34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73:C73"/>
    <mergeCell ref="D73:E73"/>
    <mergeCell ref="F73:G73"/>
    <mergeCell ref="I73:K73"/>
    <mergeCell ref="A75:C75"/>
    <mergeCell ref="D75:E75"/>
    <mergeCell ref="F75:G75"/>
    <mergeCell ref="I75:K75"/>
    <mergeCell ref="A71:C71"/>
    <mergeCell ref="D71:E71"/>
    <mergeCell ref="F71:G71"/>
    <mergeCell ref="I71:K71"/>
    <mergeCell ref="A72:C72"/>
    <mergeCell ref="D72:E72"/>
    <mergeCell ref="F72:G72"/>
    <mergeCell ref="I72:K72"/>
    <mergeCell ref="A74:C74"/>
    <mergeCell ref="D74:E74"/>
    <mergeCell ref="F74:G74"/>
    <mergeCell ref="I74:K74"/>
    <mergeCell ref="A76:C76"/>
    <mergeCell ref="D76:E76"/>
    <mergeCell ref="F76:G76"/>
    <mergeCell ref="I76:K76"/>
    <mergeCell ref="A77:C77"/>
    <mergeCell ref="D77:E77"/>
    <mergeCell ref="F77:G77"/>
    <mergeCell ref="I77:K78"/>
    <mergeCell ref="A78:C78"/>
    <mergeCell ref="D78:E78"/>
    <mergeCell ref="A81:C81"/>
    <mergeCell ref="D81:E81"/>
    <mergeCell ref="F81:G81"/>
    <mergeCell ref="I81:K81"/>
    <mergeCell ref="A82:C82"/>
    <mergeCell ref="D82:E82"/>
    <mergeCell ref="F82:G82"/>
    <mergeCell ref="I82:K82"/>
    <mergeCell ref="F78:G78"/>
    <mergeCell ref="A79:C79"/>
    <mergeCell ref="D79:E79"/>
    <mergeCell ref="F79:G79"/>
    <mergeCell ref="I79:K79"/>
    <mergeCell ref="A80:C80"/>
    <mergeCell ref="D80:E80"/>
    <mergeCell ref="F80:G80"/>
    <mergeCell ref="I80:K80"/>
    <mergeCell ref="A88:C88"/>
    <mergeCell ref="D88:E88"/>
    <mergeCell ref="F88:G88"/>
    <mergeCell ref="I88:K88"/>
    <mergeCell ref="A89:C89"/>
    <mergeCell ref="D89:E89"/>
    <mergeCell ref="F89:G89"/>
    <mergeCell ref="I89:K89"/>
    <mergeCell ref="A83:C83"/>
    <mergeCell ref="D83:E83"/>
    <mergeCell ref="F83:G83"/>
    <mergeCell ref="I83:K83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A86:C86"/>
    <mergeCell ref="A90:C90"/>
    <mergeCell ref="D90:E90"/>
    <mergeCell ref="F90:G90"/>
    <mergeCell ref="I90:K90"/>
    <mergeCell ref="A91:C91"/>
    <mergeCell ref="D91:E91"/>
    <mergeCell ref="F91:G91"/>
    <mergeCell ref="I91:K96"/>
    <mergeCell ref="A92:C92"/>
    <mergeCell ref="D92:E92"/>
    <mergeCell ref="A95:C95"/>
    <mergeCell ref="D95:E95"/>
    <mergeCell ref="F95:G95"/>
    <mergeCell ref="A96:C96"/>
    <mergeCell ref="D96:E96"/>
    <mergeCell ref="F96:G96"/>
    <mergeCell ref="F92:G92"/>
    <mergeCell ref="A93:C93"/>
    <mergeCell ref="D93:E93"/>
    <mergeCell ref="F93:G93"/>
    <mergeCell ref="A94:C94"/>
    <mergeCell ref="D94:E94"/>
    <mergeCell ref="F94:G94"/>
    <mergeCell ref="A102:C102"/>
    <mergeCell ref="D102:E102"/>
    <mergeCell ref="F102:G102"/>
    <mergeCell ref="I102:K103"/>
    <mergeCell ref="A103:C103"/>
    <mergeCell ref="D103:E103"/>
    <mergeCell ref="F103:G103"/>
    <mergeCell ref="A97:C97"/>
    <mergeCell ref="D97:E97"/>
    <mergeCell ref="F97:G97"/>
    <mergeCell ref="I97:K97"/>
    <mergeCell ref="A99:K99"/>
    <mergeCell ref="A101:C101"/>
    <mergeCell ref="D101:E101"/>
    <mergeCell ref="F101:G101"/>
    <mergeCell ref="I101:K101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24:C124"/>
    <mergeCell ref="D124:E124"/>
    <mergeCell ref="F124:G124"/>
    <mergeCell ref="I124:K124"/>
    <mergeCell ref="A125:C125"/>
    <mergeCell ref="D125:E125"/>
    <mergeCell ref="F125:G125"/>
    <mergeCell ref="I125:K126"/>
    <mergeCell ref="A126:C126"/>
    <mergeCell ref="D126:E126"/>
    <mergeCell ref="F126:G126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37:C137"/>
    <mergeCell ref="D137:E137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F137:G137"/>
    <mergeCell ref="I137:K137"/>
    <mergeCell ref="A144:C144"/>
    <mergeCell ref="D144:E144"/>
    <mergeCell ref="F144:G144"/>
    <mergeCell ref="I144:K144"/>
    <mergeCell ref="A146:K146"/>
    <mergeCell ref="A147:K147"/>
    <mergeCell ref="A142:C142"/>
    <mergeCell ref="D142:E142"/>
    <mergeCell ref="F142:G142"/>
    <mergeCell ref="A143:C143"/>
    <mergeCell ref="D143:E143"/>
    <mergeCell ref="F143:G143"/>
    <mergeCell ref="D138:E138"/>
    <mergeCell ref="F138:G138"/>
    <mergeCell ref="I138:K143"/>
    <mergeCell ref="A139:C139"/>
    <mergeCell ref="D139:E139"/>
    <mergeCell ref="A140:C140"/>
    <mergeCell ref="D140:E140"/>
    <mergeCell ref="F140:G140"/>
    <mergeCell ref="A141:C141"/>
    <mergeCell ref="D141:E141"/>
    <mergeCell ref="F141:G141"/>
    <mergeCell ref="F139:G139"/>
    <mergeCell ref="A138:C138"/>
    <mergeCell ref="A150:C150"/>
    <mergeCell ref="D150:E150"/>
    <mergeCell ref="F150:G150"/>
    <mergeCell ref="I150:K150"/>
    <mergeCell ref="A151:C151"/>
    <mergeCell ref="D151:E151"/>
    <mergeCell ref="F151:G151"/>
    <mergeCell ref="I151:K151"/>
    <mergeCell ref="A148:C148"/>
    <mergeCell ref="D148:E148"/>
    <mergeCell ref="F148:G148"/>
    <mergeCell ref="I148:K148"/>
    <mergeCell ref="A149:C149"/>
    <mergeCell ref="D149:E149"/>
    <mergeCell ref="F149:G149"/>
    <mergeCell ref="I149:K149"/>
    <mergeCell ref="F156:G156"/>
    <mergeCell ref="I156:K156"/>
    <mergeCell ref="A152:C152"/>
    <mergeCell ref="D152:E152"/>
    <mergeCell ref="F152:G152"/>
    <mergeCell ref="I152:K152"/>
    <mergeCell ref="A153:C153"/>
    <mergeCell ref="D153:E153"/>
    <mergeCell ref="F153:G153"/>
    <mergeCell ref="I153:K153"/>
    <mergeCell ref="I85:K86"/>
    <mergeCell ref="A155:C155"/>
    <mergeCell ref="D155:E155"/>
    <mergeCell ref="F155:G155"/>
    <mergeCell ref="I155:K155"/>
    <mergeCell ref="A171:K171"/>
    <mergeCell ref="A165:K165"/>
    <mergeCell ref="A166:K166"/>
    <mergeCell ref="A167:K167"/>
    <mergeCell ref="A168:K168"/>
    <mergeCell ref="A169:K169"/>
    <mergeCell ref="A170:K170"/>
    <mergeCell ref="A157:K157"/>
    <mergeCell ref="A158:K158"/>
    <mergeCell ref="A161:K161"/>
    <mergeCell ref="A162:K162"/>
    <mergeCell ref="A163:K163"/>
    <mergeCell ref="A164:K164"/>
    <mergeCell ref="A154:C154"/>
    <mergeCell ref="D154:E154"/>
    <mergeCell ref="F154:G154"/>
    <mergeCell ref="I154:K154"/>
    <mergeCell ref="A156:C156"/>
    <mergeCell ref="D156:E156"/>
  </mergeCells>
  <pageMargins left="0.31496062992125984" right="0.11811023622047245" top="0.39370078740157483" bottom="0.19685039370078741" header="0.31496062992125984" footer="0.31496062992125984"/>
  <pageSetup paperSize="9" scale="74" fitToHeight="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11-2022</vt:lpstr>
      <vt:lpstr>1</vt:lpstr>
      <vt:lpstr>2</vt:lpstr>
      <vt:lpstr>3</vt:lpstr>
      <vt:lpstr>4</vt:lpstr>
      <vt:lpstr>5</vt:lpstr>
      <vt:lpstr>6</vt:lpstr>
      <vt:lpstr>7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Спутник</dc:creator>
  <cp:lastModifiedBy>Торр Беллис</cp:lastModifiedBy>
  <cp:lastPrinted>2023-11-22T10:10:38Z</cp:lastPrinted>
  <dcterms:created xsi:type="dcterms:W3CDTF">2017-11-21T06:32:32Z</dcterms:created>
  <dcterms:modified xsi:type="dcterms:W3CDTF">2024-01-23T09:23:39Z</dcterms:modified>
</cp:coreProperties>
</file>